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SUARIOS\Silmara Nonato\QUADRIMESTRE\QUADRIMESTRE 2026\"/>
    </mc:Choice>
  </mc:AlternateContent>
  <xr:revisionPtr revIDLastSave="0" documentId="13_ncr:1_{57BF23AF-B3B5-46AF-A586-31BA4A3A8D50}" xr6:coauthVersionLast="47" xr6:coauthVersionMax="47" xr10:uidLastSave="{00000000-0000-0000-0000-000000000000}"/>
  <bookViews>
    <workbookView xWindow="-120" yWindow="-120" windowWidth="29040" windowHeight="15720" xr2:uid="{FEAF5A93-7245-4492-8AB8-831369EFE3FA}"/>
  </bookViews>
  <sheets>
    <sheet name="1º  QUADRIMESTR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D61" i="1"/>
  <c r="D60" i="1"/>
  <c r="C60" i="1"/>
  <c r="C61" i="1"/>
  <c r="B61" i="1"/>
  <c r="B60" i="1"/>
  <c r="E53" i="1"/>
  <c r="D53" i="1"/>
  <c r="C53" i="1"/>
  <c r="B53" i="1"/>
  <c r="E46" i="1"/>
  <c r="E48" i="1" s="1"/>
  <c r="D46" i="1"/>
  <c r="C46" i="1"/>
  <c r="C48" i="1" s="1"/>
  <c r="B46" i="1"/>
  <c r="B48" i="1" s="1"/>
  <c r="D45" i="1"/>
  <c r="D48" i="1" s="1"/>
  <c r="C41" i="1"/>
  <c r="B41" i="1"/>
  <c r="E40" i="1"/>
  <c r="D40" i="1"/>
  <c r="C40" i="1"/>
  <c r="B40" i="1"/>
  <c r="E39" i="1"/>
  <c r="D39" i="1"/>
  <c r="B39" i="1"/>
  <c r="E36" i="1"/>
  <c r="D36" i="1"/>
  <c r="C36" i="1"/>
  <c r="B36" i="1"/>
  <c r="B33" i="1"/>
  <c r="D32" i="1"/>
  <c r="B32" i="1"/>
  <c r="D31" i="1"/>
  <c r="C31" i="1"/>
  <c r="E30" i="1"/>
  <c r="D30" i="1"/>
  <c r="C30" i="1"/>
  <c r="B30" i="1"/>
  <c r="B29" i="1"/>
  <c r="E28" i="1"/>
  <c r="E27" i="1"/>
  <c r="D27" i="1"/>
  <c r="C27" i="1"/>
  <c r="B27" i="1"/>
  <c r="B23" i="1"/>
  <c r="E22" i="1"/>
  <c r="B22" i="1"/>
  <c r="E21" i="1"/>
  <c r="D21" i="1"/>
  <c r="C21" i="1"/>
  <c r="B21" i="1"/>
  <c r="E19" i="1"/>
  <c r="D19" i="1"/>
  <c r="C19" i="1"/>
  <c r="B19" i="1"/>
  <c r="B16" i="1"/>
  <c r="C15" i="1"/>
  <c r="B15" i="1"/>
  <c r="E10" i="1"/>
  <c r="E13" i="1" s="1"/>
  <c r="D10" i="1"/>
  <c r="C10" i="1"/>
  <c r="B10" i="1"/>
  <c r="D3" i="1"/>
  <c r="D13" i="1" s="1"/>
  <c r="C3" i="1"/>
  <c r="B3" i="1"/>
  <c r="B13" i="1" s="1"/>
  <c r="C13" i="1" l="1"/>
  <c r="D42" i="1"/>
  <c r="E42" i="1"/>
  <c r="C42" i="1"/>
  <c r="B42" i="1"/>
</calcChain>
</file>

<file path=xl/sharedStrings.xml><?xml version="1.0" encoding="utf-8"?>
<sst xmlns="http://schemas.openxmlformats.org/spreadsheetml/2006/main" count="61" uniqueCount="61">
  <si>
    <t>1 - DESPESAS COM PESSOAL</t>
  </si>
  <si>
    <t>Salários</t>
  </si>
  <si>
    <t>Férias</t>
  </si>
  <si>
    <t>13º Salário</t>
  </si>
  <si>
    <t>FGTS</t>
  </si>
  <si>
    <t>Contribuição e Mensalidade Sindical</t>
  </si>
  <si>
    <t>Cesta Básica</t>
  </si>
  <si>
    <t>Assistência Médica/Plano Odont.</t>
  </si>
  <si>
    <t>Seguro de Vida</t>
  </si>
  <si>
    <t>Total de Despesas com Pessoal</t>
  </si>
  <si>
    <t>2 - DESPESAS ADMINISTRATIVAS</t>
  </si>
  <si>
    <t>Estagiários + Nube</t>
  </si>
  <si>
    <t>Serviços Contábeis</t>
  </si>
  <si>
    <t>Energia Elétrica</t>
  </si>
  <si>
    <t>Material de Copa e Limpeza</t>
  </si>
  <si>
    <t>Combustível</t>
  </si>
  <si>
    <t>Telefone + Correio + Internet</t>
  </si>
  <si>
    <t>3 - DESPESAS COM VIAGENS</t>
  </si>
  <si>
    <t>Passagem Aérea + Estadia</t>
  </si>
  <si>
    <t>Viagem Internacional</t>
  </si>
  <si>
    <t>Total de Despesas com Viagens</t>
  </si>
  <si>
    <t>4 - BENS E EQUIPAMENTOS</t>
  </si>
  <si>
    <t>Imobilizado</t>
  </si>
  <si>
    <t>Bens de Valores Irrelevantes</t>
  </si>
  <si>
    <t>Total de Bens e Equipamentos</t>
  </si>
  <si>
    <t>5 - DESPESAS ESPECÍFICAS DOS PROGRAMAS</t>
  </si>
  <si>
    <t>Total de Despesas Específicas dos Programas</t>
  </si>
  <si>
    <t xml:space="preserve">INSS + IR + PIS </t>
  </si>
  <si>
    <t>Assinaturas Filiação em Entidades/Jornal</t>
  </si>
  <si>
    <t xml:space="preserve">Despesas com TI </t>
  </si>
  <si>
    <t xml:space="preserve">Prestação Serv. Diversos </t>
  </si>
  <si>
    <t>Publicação Legal/Jornal</t>
  </si>
  <si>
    <t>Refeições + Táxi + Outras+Diarias</t>
  </si>
  <si>
    <t>DESPESA 1º QUADRIMESTRE 2026</t>
  </si>
  <si>
    <t>RECEITAS 1º QUADRIMESTRE 2026</t>
  </si>
  <si>
    <t xml:space="preserve">Aluguel + Cond. + IPTU </t>
  </si>
  <si>
    <t xml:space="preserve">Cursos </t>
  </si>
  <si>
    <t>Capacitação Interna</t>
  </si>
  <si>
    <t>Caixa Administrativo/cartão</t>
  </si>
  <si>
    <t xml:space="preserve">Estacionamento </t>
  </si>
  <si>
    <t xml:space="preserve">Mat. Graficos / Faixas + Banners </t>
  </si>
  <si>
    <t xml:space="preserve">IPVA  </t>
  </si>
  <si>
    <t xml:space="preserve">Manutenção Veiculos Hidráulica + Elétr. Geral </t>
  </si>
  <si>
    <t>Material de Escritório / TI</t>
  </si>
  <si>
    <t>Reuniões/ Eventos</t>
  </si>
  <si>
    <t>Serviços  Auditória Externa</t>
  </si>
  <si>
    <t>Serviços Jurídicos Especiais</t>
  </si>
  <si>
    <t xml:space="preserve">Serviços de Limpeza </t>
  </si>
  <si>
    <t xml:space="preserve">Serviços de Jardinagem </t>
  </si>
  <si>
    <t>Seguro Escritorio/Veiculos</t>
  </si>
  <si>
    <t>Taxas+IOF / Desp. Bancaria</t>
  </si>
  <si>
    <t>Cofins/ICMS/IR (Aplic. Financ.)</t>
  </si>
  <si>
    <t>Total de Despesas ADMINISTRATIVAS</t>
  </si>
  <si>
    <t>Janeiro</t>
  </si>
  <si>
    <t>Fevereiro</t>
  </si>
  <si>
    <t>Março</t>
  </si>
  <si>
    <t>Abril</t>
  </si>
  <si>
    <t xml:space="preserve">Premio </t>
  </si>
  <si>
    <r>
      <t xml:space="preserve">Despesas com Projetos (Consultorias, etc.) </t>
    </r>
    <r>
      <rPr>
        <b/>
        <sz val="10"/>
        <rFont val="Calibri"/>
        <family val="2"/>
      </rPr>
      <t>Previsão</t>
    </r>
  </si>
  <si>
    <t>Recebidas  Custeio</t>
  </si>
  <si>
    <t xml:space="preserve">Outras Receitas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</si>
</sst>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2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" fontId="1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0" fillId="0" borderId="1" xfId="0" applyNumberFormat="1" applyBorder="1"/>
    <xf numFmtId="4" fontId="5" fillId="0" borderId="1" xfId="0" applyNumberFormat="1" applyFont="1" applyBorder="1"/>
    <xf numFmtId="4" fontId="5" fillId="2" borderId="1" xfId="0" applyNumberFormat="1" applyFont="1" applyFill="1" applyBorder="1"/>
    <xf numFmtId="4" fontId="5" fillId="0" borderId="2" xfId="0" applyNumberFormat="1" applyFont="1" applyBorder="1"/>
    <xf numFmtId="4" fontId="5" fillId="0" borderId="3" xfId="0" applyNumberFormat="1" applyFont="1" applyBorder="1"/>
    <xf numFmtId="0" fontId="6" fillId="0" borderId="1" xfId="0" applyFont="1" applyBorder="1" applyAlignment="1">
      <alignment horizontal="center"/>
    </xf>
    <xf numFmtId="4" fontId="0" fillId="0" borderId="2" xfId="0" applyNumberFormat="1" applyBorder="1"/>
    <xf numFmtId="0" fontId="0" fillId="0" borderId="4" xfId="0" applyBorder="1"/>
    <xf numFmtId="0" fontId="1" fillId="3" borderId="8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2" fillId="2" borderId="8" xfId="0" applyFont="1" applyFill="1" applyBorder="1" applyAlignment="1">
      <alignment horizontal="left" vertical="center"/>
    </xf>
    <xf numFmtId="4" fontId="5" fillId="0" borderId="9" xfId="0" applyNumberFormat="1" applyFont="1" applyBorder="1"/>
    <xf numFmtId="4" fontId="5" fillId="0" borderId="10" xfId="0" applyNumberFormat="1" applyFont="1" applyBorder="1"/>
    <xf numFmtId="0" fontId="1" fillId="2" borderId="8" xfId="0" applyFont="1" applyFill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0" fillId="0" borderId="9" xfId="0" applyNumberFormat="1" applyBorder="1"/>
    <xf numFmtId="0" fontId="2" fillId="0" borderId="8" xfId="0" applyFont="1" applyBorder="1" applyAlignment="1">
      <alignment horizontal="left" vertical="center"/>
    </xf>
    <xf numFmtId="4" fontId="2" fillId="0" borderId="9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top"/>
    </xf>
    <xf numFmtId="0" fontId="7" fillId="0" borderId="11" xfId="0" applyFont="1" applyBorder="1"/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4" fontId="5" fillId="2" borderId="9" xfId="0" applyNumberFormat="1" applyFont="1" applyFill="1" applyBorder="1"/>
    <xf numFmtId="0" fontId="2" fillId="0" borderId="12" xfId="0" applyFont="1" applyBorder="1" applyAlignment="1">
      <alignment horizontal="left" vertical="center"/>
    </xf>
    <xf numFmtId="0" fontId="0" fillId="0" borderId="8" xfId="0" applyBorder="1"/>
    <xf numFmtId="0" fontId="0" fillId="0" borderId="13" xfId="0" applyBorder="1"/>
    <xf numFmtId="4" fontId="5" fillId="0" borderId="14" xfId="0" applyNumberFormat="1" applyFont="1" applyBorder="1"/>
    <xf numFmtId="4" fontId="5" fillId="0" borderId="15" xfId="0" applyNumberFormat="1" applyFont="1" applyBorder="1"/>
    <xf numFmtId="0" fontId="1" fillId="0" borderId="16" xfId="0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4" fontId="1" fillId="0" borderId="14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>
      <alignment horizontal="right" vertical="center"/>
    </xf>
    <xf numFmtId="0" fontId="4" fillId="0" borderId="18" xfId="0" applyFont="1" applyBorder="1"/>
    <xf numFmtId="4" fontId="6" fillId="0" borderId="19" xfId="0" applyNumberFormat="1" applyFont="1" applyBorder="1" applyAlignment="1">
      <alignment horizontal="center"/>
    </xf>
    <xf numFmtId="4" fontId="6" fillId="0" borderId="20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3D89-CC29-4221-A139-942E6A12978C}">
  <dimension ref="A1:E61"/>
  <sheetViews>
    <sheetView tabSelected="1" zoomScaleNormal="100" workbookViewId="0">
      <selection activeCell="J57" sqref="J57"/>
    </sheetView>
  </sheetViews>
  <sheetFormatPr defaultRowHeight="15" x14ac:dyDescent="0.25"/>
  <cols>
    <col min="1" max="1" width="43.140625" customWidth="1"/>
    <col min="2" max="4" width="10.7109375" customWidth="1"/>
    <col min="5" max="5" width="11.42578125" customWidth="1"/>
  </cols>
  <sheetData>
    <row r="1" spans="1:5" ht="15.75" customHeight="1" x14ac:dyDescent="0.25">
      <c r="A1" s="40" t="s">
        <v>33</v>
      </c>
      <c r="B1" s="41"/>
      <c r="C1" s="41"/>
      <c r="D1" s="41"/>
      <c r="E1" s="42"/>
    </row>
    <row r="2" spans="1:5" x14ac:dyDescent="0.25">
      <c r="A2" s="13" t="s">
        <v>0</v>
      </c>
      <c r="B2" s="10" t="s">
        <v>53</v>
      </c>
      <c r="C2" s="10" t="s">
        <v>54</v>
      </c>
      <c r="D2" s="10" t="s">
        <v>55</v>
      </c>
      <c r="E2" s="14" t="s">
        <v>56</v>
      </c>
    </row>
    <row r="3" spans="1:5" x14ac:dyDescent="0.25">
      <c r="A3" s="15" t="s">
        <v>1</v>
      </c>
      <c r="B3" s="6">
        <f>36542+54032</f>
        <v>90574</v>
      </c>
      <c r="C3" s="6">
        <f>44955+54806</f>
        <v>99761</v>
      </c>
      <c r="D3" s="6">
        <f>44514+60281</f>
        <v>104795</v>
      </c>
      <c r="E3" s="16">
        <v>110320</v>
      </c>
    </row>
    <row r="4" spans="1:5" x14ac:dyDescent="0.25">
      <c r="A4" s="15" t="s">
        <v>2</v>
      </c>
      <c r="B4" s="6">
        <v>1774</v>
      </c>
      <c r="C4" s="6">
        <v>17569</v>
      </c>
      <c r="D4" s="6">
        <v>5625</v>
      </c>
      <c r="E4" s="16">
        <v>18483</v>
      </c>
    </row>
    <row r="5" spans="1:5" x14ac:dyDescent="0.25">
      <c r="A5" s="15" t="s">
        <v>3</v>
      </c>
      <c r="B5" s="6">
        <v>0</v>
      </c>
      <c r="C5" s="6">
        <v>0</v>
      </c>
      <c r="D5" s="6">
        <v>0</v>
      </c>
      <c r="E5" s="17">
        <v>0</v>
      </c>
    </row>
    <row r="6" spans="1:5" x14ac:dyDescent="0.25">
      <c r="A6" s="15" t="s">
        <v>27</v>
      </c>
      <c r="B6" s="6">
        <v>87904.79</v>
      </c>
      <c r="C6" s="6">
        <v>70563.179999999993</v>
      </c>
      <c r="D6" s="6">
        <v>73714.64</v>
      </c>
      <c r="E6" s="16">
        <v>85410.26</v>
      </c>
    </row>
    <row r="7" spans="1:5" ht="15.75" customHeight="1" x14ac:dyDescent="0.25">
      <c r="A7" s="15" t="s">
        <v>4</v>
      </c>
      <c r="B7" s="6">
        <v>13796.03</v>
      </c>
      <c r="C7" s="6">
        <v>11063.6</v>
      </c>
      <c r="D7" s="6">
        <v>12220.28</v>
      </c>
      <c r="E7" s="16">
        <v>13206.79</v>
      </c>
    </row>
    <row r="8" spans="1:5" x14ac:dyDescent="0.25">
      <c r="A8" s="15" t="s">
        <v>5</v>
      </c>
      <c r="B8" s="6">
        <v>609.75</v>
      </c>
      <c r="C8" s="6">
        <v>632.05999999999995</v>
      </c>
      <c r="D8" s="6">
        <v>661.52</v>
      </c>
      <c r="E8" s="16">
        <v>701.93</v>
      </c>
    </row>
    <row r="9" spans="1:5" x14ac:dyDescent="0.25">
      <c r="A9" s="15" t="s">
        <v>6</v>
      </c>
      <c r="B9" s="6">
        <v>13245.17</v>
      </c>
      <c r="C9" s="6">
        <v>27692.05</v>
      </c>
      <c r="D9" s="6">
        <v>15820.98</v>
      </c>
      <c r="E9" s="16">
        <v>15037.12</v>
      </c>
    </row>
    <row r="10" spans="1:5" x14ac:dyDescent="0.25">
      <c r="A10" s="15" t="s">
        <v>7</v>
      </c>
      <c r="B10" s="7">
        <f>18398.7-1051.36+657.8</f>
        <v>18005.14</v>
      </c>
      <c r="C10" s="6">
        <f>19026.6-1051.36</f>
        <v>17975.239999999998</v>
      </c>
      <c r="D10" s="6">
        <f>24270.4-1184.88</f>
        <v>23085.52</v>
      </c>
      <c r="E10" s="16">
        <f>24360.76</f>
        <v>24360.76</v>
      </c>
    </row>
    <row r="11" spans="1:5" x14ac:dyDescent="0.25">
      <c r="A11" s="15" t="s">
        <v>57</v>
      </c>
      <c r="B11" s="7">
        <v>10536.5</v>
      </c>
      <c r="C11" s="6">
        <v>0</v>
      </c>
      <c r="D11" s="6">
        <v>0</v>
      </c>
      <c r="E11" s="16">
        <v>0</v>
      </c>
    </row>
    <row r="12" spans="1:5" x14ac:dyDescent="0.25">
      <c r="A12" s="15" t="s">
        <v>8</v>
      </c>
      <c r="B12" s="6">
        <v>0</v>
      </c>
      <c r="C12" s="6">
        <v>0</v>
      </c>
      <c r="D12" s="6">
        <v>0</v>
      </c>
      <c r="E12" s="16">
        <v>0</v>
      </c>
    </row>
    <row r="13" spans="1:5" x14ac:dyDescent="0.25">
      <c r="A13" s="18" t="s">
        <v>9</v>
      </c>
      <c r="B13" s="1">
        <f t="shared" ref="B13:E13" si="0">SUM(B3:B12)</f>
        <v>236445.38</v>
      </c>
      <c r="C13" s="1">
        <f t="shared" si="0"/>
        <v>245256.12999999998</v>
      </c>
      <c r="D13" s="1">
        <f t="shared" si="0"/>
        <v>235922.94</v>
      </c>
      <c r="E13" s="19">
        <f t="shared" si="0"/>
        <v>267519.86</v>
      </c>
    </row>
    <row r="14" spans="1:5" x14ac:dyDescent="0.25">
      <c r="A14" s="13" t="s">
        <v>10</v>
      </c>
      <c r="B14" s="5"/>
      <c r="C14" s="5"/>
      <c r="D14" s="5"/>
      <c r="E14" s="20"/>
    </row>
    <row r="15" spans="1:5" x14ac:dyDescent="0.25">
      <c r="A15" s="21" t="s">
        <v>28</v>
      </c>
      <c r="B15" s="8">
        <f>55.9+3261.65+114.16+575.59+550</f>
        <v>4557.3</v>
      </c>
      <c r="C15" s="6">
        <f>55.9</f>
        <v>55.9</v>
      </c>
      <c r="D15" s="6">
        <v>55.9</v>
      </c>
      <c r="E15" s="16">
        <v>55.9</v>
      </c>
    </row>
    <row r="16" spans="1:5" x14ac:dyDescent="0.25">
      <c r="A16" s="15" t="s">
        <v>35</v>
      </c>
      <c r="B16" s="8">
        <f>18616+5339.69</f>
        <v>23955.69</v>
      </c>
      <c r="C16" s="6">
        <v>18606.560000000001</v>
      </c>
      <c r="D16" s="6">
        <v>18567.7</v>
      </c>
      <c r="E16" s="16">
        <v>18525.09</v>
      </c>
    </row>
    <row r="17" spans="1:5" x14ac:dyDescent="0.25">
      <c r="A17" s="21" t="s">
        <v>36</v>
      </c>
      <c r="B17" s="8">
        <v>3687.03</v>
      </c>
      <c r="C17" s="6">
        <v>2397.6</v>
      </c>
      <c r="D17" s="6">
        <v>0</v>
      </c>
      <c r="E17" s="16">
        <v>0</v>
      </c>
    </row>
    <row r="18" spans="1:5" x14ac:dyDescent="0.25">
      <c r="A18" s="21" t="s">
        <v>37</v>
      </c>
      <c r="B18" s="8">
        <v>0</v>
      </c>
      <c r="C18" s="6">
        <v>0</v>
      </c>
      <c r="D18" s="6">
        <v>5895</v>
      </c>
      <c r="E18" s="16">
        <v>0</v>
      </c>
    </row>
    <row r="19" spans="1:5" x14ac:dyDescent="0.25">
      <c r="A19" s="21" t="s">
        <v>38</v>
      </c>
      <c r="B19" s="8">
        <f>4148.08+1000</f>
        <v>5148.08</v>
      </c>
      <c r="C19" s="6">
        <f>4449.27+500</f>
        <v>4949.2700000000004</v>
      </c>
      <c r="D19" s="6">
        <f>214.68+2500</f>
        <v>2714.68</v>
      </c>
      <c r="E19" s="16">
        <f>2053.72+1500</f>
        <v>3553.72</v>
      </c>
    </row>
    <row r="20" spans="1:5" x14ac:dyDescent="0.25">
      <c r="A20" s="21" t="s">
        <v>15</v>
      </c>
      <c r="B20" s="8">
        <v>1102.8699999999999</v>
      </c>
      <c r="C20" s="6">
        <v>1662.25</v>
      </c>
      <c r="D20" s="6">
        <v>729.46</v>
      </c>
      <c r="E20" s="16">
        <v>2459.38</v>
      </c>
    </row>
    <row r="21" spans="1:5" x14ac:dyDescent="0.25">
      <c r="A21" s="21" t="s">
        <v>29</v>
      </c>
      <c r="B21" s="8">
        <f>1500+284.56+2964.68+148+1187.46</f>
        <v>6084.7</v>
      </c>
      <c r="C21" s="6">
        <f>1838.72+284.56+2964.68+1187.46</f>
        <v>6275.42</v>
      </c>
      <c r="D21" s="6">
        <f>1838.72+284.56+2964.68</f>
        <v>5087.96</v>
      </c>
      <c r="E21" s="16">
        <f>1838.72+284.56+2964.68</f>
        <v>5087.96</v>
      </c>
    </row>
    <row r="22" spans="1:5" x14ac:dyDescent="0.25">
      <c r="A22" s="15" t="s">
        <v>11</v>
      </c>
      <c r="B22" s="8">
        <f>2092.44</f>
        <v>2092.44</v>
      </c>
      <c r="C22" s="6">
        <v>1732.36</v>
      </c>
      <c r="D22" s="6">
        <v>3497.98</v>
      </c>
      <c r="E22" s="16">
        <f>5256.34</f>
        <v>5256.34</v>
      </c>
    </row>
    <row r="23" spans="1:5" x14ac:dyDescent="0.25">
      <c r="A23" s="15" t="s">
        <v>39</v>
      </c>
      <c r="B23" s="8">
        <f>905+1055</f>
        <v>1960</v>
      </c>
      <c r="C23" s="6">
        <v>0</v>
      </c>
      <c r="D23" s="6">
        <v>1126</v>
      </c>
      <c r="E23" s="16">
        <v>1126</v>
      </c>
    </row>
    <row r="24" spans="1:5" x14ac:dyDescent="0.25">
      <c r="A24" s="21" t="s">
        <v>13</v>
      </c>
      <c r="B24" s="2">
        <v>3028.19</v>
      </c>
      <c r="C24" s="3">
        <v>3146.04</v>
      </c>
      <c r="D24" s="3">
        <v>3373.79</v>
      </c>
      <c r="E24" s="22">
        <v>3691.54</v>
      </c>
    </row>
    <row r="25" spans="1:5" x14ac:dyDescent="0.25">
      <c r="A25" s="21" t="s">
        <v>40</v>
      </c>
      <c r="B25" s="8">
        <v>0</v>
      </c>
      <c r="C25" s="6">
        <v>0</v>
      </c>
      <c r="D25" s="6">
        <v>60</v>
      </c>
      <c r="E25" s="16">
        <v>0</v>
      </c>
    </row>
    <row r="26" spans="1:5" x14ac:dyDescent="0.25">
      <c r="A26" s="21" t="s">
        <v>41</v>
      </c>
      <c r="B26" s="8">
        <v>16762.22</v>
      </c>
      <c r="C26" s="6">
        <v>0</v>
      </c>
      <c r="D26" s="6">
        <v>0</v>
      </c>
      <c r="E26" s="16">
        <v>0</v>
      </c>
    </row>
    <row r="27" spans="1:5" x14ac:dyDescent="0.25">
      <c r="A27" s="21" t="s">
        <v>42</v>
      </c>
      <c r="B27" s="8">
        <f>287.52+1789.3</f>
        <v>2076.8199999999997</v>
      </c>
      <c r="C27" s="6">
        <f>485+750+950+500+625</f>
        <v>3310</v>
      </c>
      <c r="D27" s="6">
        <f>140+270+327+3360.74+3860</f>
        <v>7957.74</v>
      </c>
      <c r="E27" s="16">
        <f>1205+3117</f>
        <v>4322</v>
      </c>
    </row>
    <row r="28" spans="1:5" x14ac:dyDescent="0.25">
      <c r="A28" s="21" t="s">
        <v>43</v>
      </c>
      <c r="B28" s="9">
        <v>0</v>
      </c>
      <c r="C28" s="6">
        <v>564.5</v>
      </c>
      <c r="D28" s="6">
        <v>840.61</v>
      </c>
      <c r="E28" s="16">
        <f>298.45+243</f>
        <v>541.45000000000005</v>
      </c>
    </row>
    <row r="29" spans="1:5" x14ac:dyDescent="0.25">
      <c r="A29" s="21" t="s">
        <v>14</v>
      </c>
      <c r="B29" s="8">
        <f>479.2</f>
        <v>479.2</v>
      </c>
      <c r="C29" s="6">
        <v>636.79</v>
      </c>
      <c r="D29" s="6">
        <v>366.79</v>
      </c>
      <c r="E29" s="16">
        <v>636.21</v>
      </c>
    </row>
    <row r="30" spans="1:5" x14ac:dyDescent="0.25">
      <c r="A30" s="15" t="s">
        <v>30</v>
      </c>
      <c r="B30" s="8">
        <f>438+69+290</f>
        <v>797</v>
      </c>
      <c r="C30" s="6">
        <f>5801.95+438+69+149</f>
        <v>6457.95</v>
      </c>
      <c r="D30" s="6">
        <f>1912.62+438+69+625+582.35+400</f>
        <v>4026.97</v>
      </c>
      <c r="E30" s="16">
        <f>438+1397+52.82+6369.94</f>
        <v>8257.76</v>
      </c>
    </row>
    <row r="31" spans="1:5" x14ac:dyDescent="0.25">
      <c r="A31" s="21" t="s">
        <v>31</v>
      </c>
      <c r="B31" s="8">
        <v>980.4</v>
      </c>
      <c r="C31" s="6">
        <f>648+2941.2</f>
        <v>3589.2</v>
      </c>
      <c r="D31" s="6">
        <f>1512+612.75</f>
        <v>2124.75</v>
      </c>
      <c r="E31" s="16">
        <v>1102.95</v>
      </c>
    </row>
    <row r="32" spans="1:5" x14ac:dyDescent="0.25">
      <c r="A32" s="21" t="s">
        <v>44</v>
      </c>
      <c r="B32" s="8">
        <f>23.88</f>
        <v>23.88</v>
      </c>
      <c r="C32" s="6">
        <v>700</v>
      </c>
      <c r="D32" s="6">
        <f>2344+7260</f>
        <v>9604</v>
      </c>
      <c r="E32" s="16">
        <v>209.5</v>
      </c>
    </row>
    <row r="33" spans="1:5" x14ac:dyDescent="0.25">
      <c r="A33" s="15" t="s">
        <v>12</v>
      </c>
      <c r="B33" s="8">
        <f>5140.33+30</f>
        <v>5170.33</v>
      </c>
      <c r="C33" s="6">
        <v>5216.09</v>
      </c>
      <c r="D33" s="6">
        <v>5180.33</v>
      </c>
      <c r="E33" s="16">
        <v>5140.33</v>
      </c>
    </row>
    <row r="34" spans="1:5" x14ac:dyDescent="0.25">
      <c r="A34" s="15" t="s">
        <v>45</v>
      </c>
      <c r="B34" s="8">
        <v>1541.8</v>
      </c>
      <c r="C34" s="6">
        <v>1541.8</v>
      </c>
      <c r="D34" s="6">
        <v>1541.8</v>
      </c>
      <c r="E34" s="16">
        <v>1541.8</v>
      </c>
    </row>
    <row r="35" spans="1:5" x14ac:dyDescent="0.25">
      <c r="A35" s="15" t="s">
        <v>46</v>
      </c>
      <c r="B35" s="8">
        <v>0</v>
      </c>
      <c r="C35" s="6">
        <v>1987.33</v>
      </c>
      <c r="D35" s="6">
        <v>1151.33</v>
      </c>
      <c r="E35" s="16">
        <v>1228.3399999999999</v>
      </c>
    </row>
    <row r="36" spans="1:5" x14ac:dyDescent="0.25">
      <c r="A36" s="21" t="s">
        <v>47</v>
      </c>
      <c r="B36" s="8">
        <f>1559.04+220.9+205.1+92.8+3711.12</f>
        <v>5788.96</v>
      </c>
      <c r="C36" s="6">
        <f>1559.04+220.9+205.1+92.8+3711.12</f>
        <v>5788.96</v>
      </c>
      <c r="D36" s="6">
        <f>1646.84+3711.12+220.9+205.1+98.03</f>
        <v>5881.99</v>
      </c>
      <c r="E36" s="16">
        <f>1646.84+123.22+166.86+115.4+129.27+112.78+123.79+115.47+126.62+113.97+125.09+112.62+123.83+111.42+122.55+110.25+121.78+109.54+120.25+103.34+382.87+102.37+113.83+101.39+205.1+220.9+3711.12+98.03</f>
        <v>8870.5000000000018</v>
      </c>
    </row>
    <row r="37" spans="1:5" x14ac:dyDescent="0.25">
      <c r="A37" s="21" t="s">
        <v>48</v>
      </c>
      <c r="B37" s="8">
        <v>0</v>
      </c>
      <c r="C37" s="6">
        <v>5200</v>
      </c>
      <c r="D37" s="6">
        <v>5200</v>
      </c>
      <c r="E37" s="16">
        <v>5200</v>
      </c>
    </row>
    <row r="38" spans="1:5" x14ac:dyDescent="0.25">
      <c r="A38" s="15" t="s">
        <v>49</v>
      </c>
      <c r="B38" s="8">
        <v>0</v>
      </c>
      <c r="C38" s="6">
        <v>0</v>
      </c>
      <c r="D38" s="6">
        <v>0</v>
      </c>
      <c r="E38" s="16">
        <v>5730.85</v>
      </c>
    </row>
    <row r="39" spans="1:5" x14ac:dyDescent="0.25">
      <c r="A39" s="21" t="s">
        <v>16</v>
      </c>
      <c r="B39" s="2">
        <f>3643.58</f>
        <v>3643.58</v>
      </c>
      <c r="C39" s="3">
        <v>3747.95</v>
      </c>
      <c r="D39" s="3">
        <f>1866.63+441.45</f>
        <v>2308.08</v>
      </c>
      <c r="E39" s="22">
        <f>5522.3+2976.39</f>
        <v>8498.69</v>
      </c>
    </row>
    <row r="40" spans="1:5" x14ac:dyDescent="0.25">
      <c r="A40" s="23" t="s">
        <v>50</v>
      </c>
      <c r="B40" s="9">
        <f>482.8+473.66</f>
        <v>956.46</v>
      </c>
      <c r="C40" s="6">
        <f>4132.28+809.25+461.04</f>
        <v>5402.57</v>
      </c>
      <c r="D40" s="6">
        <f>4793.22+946.82</f>
        <v>5740.04</v>
      </c>
      <c r="E40" s="16">
        <f>140.24+430.18+13.56</f>
        <v>583.98</v>
      </c>
    </row>
    <row r="41" spans="1:5" x14ac:dyDescent="0.25">
      <c r="A41" s="24" t="s">
        <v>51</v>
      </c>
      <c r="B41" s="8">
        <f>2704.25</f>
        <v>2704.25</v>
      </c>
      <c r="C41" s="6">
        <f>2599.14</f>
        <v>2599.14</v>
      </c>
      <c r="D41" s="6">
        <v>2352.0500000000002</v>
      </c>
      <c r="E41" s="16">
        <v>2944.25</v>
      </c>
    </row>
    <row r="42" spans="1:5" x14ac:dyDescent="0.25">
      <c r="A42" s="25" t="s">
        <v>52</v>
      </c>
      <c r="B42" s="1">
        <f t="shared" ref="B42:E42" si="1">SUM(B15:B41)</f>
        <v>92541.200000000012</v>
      </c>
      <c r="C42" s="1">
        <f t="shared" si="1"/>
        <v>85567.680000000008</v>
      </c>
      <c r="D42" s="1">
        <f t="shared" si="1"/>
        <v>95384.950000000026</v>
      </c>
      <c r="E42" s="19">
        <f t="shared" si="1"/>
        <v>94564.540000000008</v>
      </c>
    </row>
    <row r="43" spans="1:5" x14ac:dyDescent="0.25">
      <c r="A43" s="26"/>
      <c r="B43" s="11"/>
      <c r="C43" s="5"/>
      <c r="D43" s="5"/>
      <c r="E43" s="20"/>
    </row>
    <row r="44" spans="1:5" x14ac:dyDescent="0.25">
      <c r="A44" s="13" t="s">
        <v>17</v>
      </c>
      <c r="B44" s="11"/>
      <c r="C44" s="5"/>
      <c r="D44" s="5"/>
      <c r="E44" s="20"/>
    </row>
    <row r="45" spans="1:5" x14ac:dyDescent="0.25">
      <c r="A45" s="21" t="s">
        <v>18</v>
      </c>
      <c r="B45" s="6">
        <v>4089.58</v>
      </c>
      <c r="C45" s="6">
        <v>0</v>
      </c>
      <c r="D45" s="6">
        <f>1031.54+2754.08</f>
        <v>3785.62</v>
      </c>
      <c r="E45" s="16">
        <v>11597.34</v>
      </c>
    </row>
    <row r="46" spans="1:5" x14ac:dyDescent="0.25">
      <c r="A46" s="21" t="s">
        <v>32</v>
      </c>
      <c r="B46" s="6">
        <f>7204.78</f>
        <v>7204.78</v>
      </c>
      <c r="C46" s="7">
        <f>5270.07-1420.43</f>
        <v>3849.6399999999994</v>
      </c>
      <c r="D46" s="7">
        <f>5800.9-2406.11</f>
        <v>3394.7899999999995</v>
      </c>
      <c r="E46" s="27">
        <f>7096.2-575.25</f>
        <v>6520.95</v>
      </c>
    </row>
    <row r="47" spans="1:5" x14ac:dyDescent="0.25">
      <c r="A47" s="21" t="s">
        <v>19</v>
      </c>
      <c r="B47" s="6">
        <v>0</v>
      </c>
      <c r="C47" s="6">
        <v>0</v>
      </c>
      <c r="D47" s="6">
        <v>0</v>
      </c>
      <c r="E47" s="16">
        <v>0</v>
      </c>
    </row>
    <row r="48" spans="1:5" x14ac:dyDescent="0.25">
      <c r="A48" s="25" t="s">
        <v>20</v>
      </c>
      <c r="B48" s="1">
        <f t="shared" ref="B48:E48" si="2">SUM(B45:B47)</f>
        <v>11294.36</v>
      </c>
      <c r="C48" s="1">
        <f t="shared" si="2"/>
        <v>3849.6399999999994</v>
      </c>
      <c r="D48" s="1">
        <f t="shared" si="2"/>
        <v>7180.41</v>
      </c>
      <c r="E48" s="19">
        <f t="shared" si="2"/>
        <v>18118.29</v>
      </c>
    </row>
    <row r="49" spans="1:5" x14ac:dyDescent="0.25">
      <c r="A49" s="26"/>
      <c r="B49" s="11"/>
      <c r="C49" s="5"/>
      <c r="D49" s="5"/>
      <c r="E49" s="20"/>
    </row>
    <row r="50" spans="1:5" x14ac:dyDescent="0.25">
      <c r="A50" s="13" t="s">
        <v>21</v>
      </c>
      <c r="B50" s="11"/>
      <c r="C50" s="5"/>
      <c r="D50" s="5"/>
      <c r="E50" s="20"/>
    </row>
    <row r="51" spans="1:5" x14ac:dyDescent="0.25">
      <c r="A51" s="21" t="s">
        <v>22</v>
      </c>
      <c r="B51" s="6">
        <v>0</v>
      </c>
      <c r="C51" s="6">
        <v>0</v>
      </c>
      <c r="D51" s="6">
        <v>0</v>
      </c>
      <c r="E51" s="16">
        <v>7890</v>
      </c>
    </row>
    <row r="52" spans="1:5" x14ac:dyDescent="0.25">
      <c r="A52" s="21" t="s">
        <v>23</v>
      </c>
      <c r="B52" s="6">
        <v>0</v>
      </c>
      <c r="C52" s="6">
        <v>0</v>
      </c>
      <c r="D52" s="6">
        <v>0</v>
      </c>
      <c r="E52" s="16">
        <v>0</v>
      </c>
    </row>
    <row r="53" spans="1:5" x14ac:dyDescent="0.25">
      <c r="A53" s="25" t="s">
        <v>24</v>
      </c>
      <c r="B53" s="1">
        <f t="shared" ref="B53:E53" si="3">SUM(B51:B52)</f>
        <v>0</v>
      </c>
      <c r="C53" s="1">
        <f t="shared" si="3"/>
        <v>0</v>
      </c>
      <c r="D53" s="1">
        <f t="shared" si="3"/>
        <v>0</v>
      </c>
      <c r="E53" s="19">
        <f t="shared" si="3"/>
        <v>7890</v>
      </c>
    </row>
    <row r="54" spans="1:5" x14ac:dyDescent="0.25">
      <c r="A54" s="28"/>
      <c r="B54" s="11"/>
      <c r="C54" s="5"/>
      <c r="D54" s="5"/>
      <c r="E54" s="20"/>
    </row>
    <row r="55" spans="1:5" x14ac:dyDescent="0.25">
      <c r="A55" s="13" t="s">
        <v>25</v>
      </c>
      <c r="B55" s="11"/>
      <c r="C55" s="5"/>
      <c r="D55" s="5"/>
      <c r="E55" s="20"/>
    </row>
    <row r="56" spans="1:5" x14ac:dyDescent="0.25">
      <c r="A56" s="21" t="s">
        <v>58</v>
      </c>
      <c r="B56" s="6">
        <v>557600</v>
      </c>
      <c r="C56" s="6">
        <v>0</v>
      </c>
      <c r="D56" s="6">
        <v>0</v>
      </c>
      <c r="E56" s="16">
        <v>0</v>
      </c>
    </row>
    <row r="57" spans="1:5" ht="15.75" thickBot="1" x14ac:dyDescent="0.3">
      <c r="A57" s="33" t="s">
        <v>26</v>
      </c>
      <c r="B57" s="34"/>
      <c r="C57" s="35"/>
      <c r="D57" s="35"/>
      <c r="E57" s="36"/>
    </row>
    <row r="58" spans="1:5" ht="15.75" thickBot="1" x14ac:dyDescent="0.3">
      <c r="A58" s="12"/>
      <c r="B58" s="4"/>
      <c r="C58" s="4"/>
      <c r="D58" s="4"/>
      <c r="E58" s="4"/>
    </row>
    <row r="59" spans="1:5" ht="15.75" x14ac:dyDescent="0.25">
      <c r="A59" s="37" t="s">
        <v>34</v>
      </c>
      <c r="B59" s="38"/>
      <c r="C59" s="38"/>
      <c r="D59" s="38"/>
      <c r="E59" s="39"/>
    </row>
    <row r="60" spans="1:5" x14ac:dyDescent="0.25">
      <c r="A60" s="29" t="s">
        <v>59</v>
      </c>
      <c r="B60" s="6">
        <f>140568.31+186159.83</f>
        <v>326728.14</v>
      </c>
      <c r="C60" s="6">
        <f>653993+146318</f>
        <v>800311</v>
      </c>
      <c r="D60" s="6">
        <f>275030.46+90106</f>
        <v>365136.46</v>
      </c>
      <c r="E60" s="16">
        <f>282975.81+104815</f>
        <v>387790.81</v>
      </c>
    </row>
    <row r="61" spans="1:5" ht="15.75" thickBot="1" x14ac:dyDescent="0.3">
      <c r="A61" s="30" t="s">
        <v>60</v>
      </c>
      <c r="B61" s="31">
        <f>159148.55+507.06+496.25</f>
        <v>160151.85999999999</v>
      </c>
      <c r="C61" s="31">
        <f>22395.61+712.74+2251.36+1567.16</f>
        <v>26926.870000000003</v>
      </c>
      <c r="D61" s="31">
        <f>29993.52+1768.38+3175.68</f>
        <v>34937.58</v>
      </c>
      <c r="E61" s="32">
        <f>62316.27+4407.49</f>
        <v>66723.759999999995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1º  QUADRIMESTRE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Nonato - Consórcio PCJ</dc:creator>
  <cp:lastModifiedBy>Silmara Nonato - Consórcio PCJ</cp:lastModifiedBy>
  <cp:lastPrinted>2026-05-08T12:55:40Z</cp:lastPrinted>
  <dcterms:created xsi:type="dcterms:W3CDTF">2025-01-14T19:34:35Z</dcterms:created>
  <dcterms:modified xsi:type="dcterms:W3CDTF">2026-05-08T13:16:32Z</dcterms:modified>
</cp:coreProperties>
</file>