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UARIOS\Hiago Sacciloto\TRANSPARÊNCIA - PORTAL\Receita e Despesas\3º QUADRIMESTRE 2025\"/>
    </mc:Choice>
  </mc:AlternateContent>
  <xr:revisionPtr revIDLastSave="0" documentId="13_ncr:1_{683CC84D-D8C0-44CC-995C-F8EEBD34257F}" xr6:coauthVersionLast="47" xr6:coauthVersionMax="47" xr10:uidLastSave="{00000000-0000-0000-0000-000000000000}"/>
  <bookViews>
    <workbookView xWindow="1560" yWindow="0" windowWidth="26985" windowHeight="15585" xr2:uid="{FEAF5A93-7245-4492-8AB8-831369EFE3FA}"/>
  </bookViews>
  <sheets>
    <sheet name="3º QUADRIMESTRE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C53" i="3"/>
  <c r="B54" i="3"/>
  <c r="B53" i="3"/>
  <c r="D54" i="3"/>
  <c r="D53" i="3"/>
  <c r="E54" i="3"/>
  <c r="E53" i="3"/>
  <c r="C50" i="3"/>
  <c r="D50" i="3"/>
  <c r="E50" i="3"/>
  <c r="B50" i="3"/>
  <c r="E46" i="3"/>
  <c r="D46" i="3"/>
  <c r="C46" i="3"/>
  <c r="B46" i="3"/>
  <c r="E42" i="3"/>
  <c r="D42" i="3"/>
  <c r="C42" i="3"/>
  <c r="B42" i="3"/>
  <c r="E40" i="3"/>
  <c r="D40" i="3"/>
  <c r="C40" i="3"/>
  <c r="C37" i="3"/>
  <c r="D37" i="3"/>
  <c r="E37" i="3"/>
  <c r="B37" i="3"/>
  <c r="E36" i="3"/>
  <c r="D36" i="3"/>
  <c r="C36" i="3"/>
  <c r="B36" i="3"/>
  <c r="D35" i="3"/>
  <c r="C35" i="3"/>
  <c r="E33" i="3"/>
  <c r="D33" i="3"/>
  <c r="C33" i="3"/>
  <c r="B33" i="3"/>
  <c r="D31" i="3"/>
  <c r="E30" i="3"/>
  <c r="D30" i="3"/>
  <c r="C30" i="3"/>
  <c r="E29" i="3"/>
  <c r="C29" i="3"/>
  <c r="E28" i="3"/>
  <c r="D28" i="3"/>
  <c r="C28" i="3"/>
  <c r="B28" i="3"/>
  <c r="C27" i="3"/>
  <c r="C26" i="3"/>
  <c r="B26" i="3"/>
  <c r="C25" i="3"/>
  <c r="B25" i="3"/>
  <c r="D24" i="3"/>
  <c r="B23" i="3"/>
  <c r="E20" i="3"/>
  <c r="D20" i="3"/>
  <c r="C20" i="3"/>
  <c r="B20" i="3"/>
  <c r="E19" i="3"/>
  <c r="E18" i="3"/>
  <c r="D18" i="3"/>
  <c r="C18" i="3"/>
  <c r="B18" i="3"/>
  <c r="E16" i="3"/>
  <c r="D16" i="3"/>
  <c r="C16" i="3"/>
  <c r="D13" i="3"/>
  <c r="B13" i="3"/>
  <c r="E10" i="3"/>
  <c r="E13" i="3" s="1"/>
  <c r="D10" i="3"/>
  <c r="C3" i="3"/>
  <c r="C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Silmara Nonato - Consórcio PCJ</author>
  </authors>
  <commentList>
    <comment ref="A20" authorId="0" shapeId="0" xr:uid="{F98F909A-2B18-4A7F-AF03-29D1C522BC83}">
      <text>
        <r>
          <rPr>
            <b/>
            <sz val="9"/>
            <color indexed="81"/>
            <rFont val="Segoe UI"/>
            <family val="2"/>
          </rPr>
          <t>Silmara Nonato - Consórcio PCJ:</t>
        </r>
        <r>
          <rPr>
            <sz val="9"/>
            <color indexed="81"/>
            <rFont val="Segoe UI"/>
            <family val="2"/>
          </rPr>
          <t xml:space="preserve">
Triade e FGA
</t>
        </r>
      </text>
    </comment>
  </commentList>
</comments>
</file>

<file path=xl/sharedStrings.xml><?xml version="1.0" encoding="utf-8"?>
<sst xmlns="http://schemas.openxmlformats.org/spreadsheetml/2006/main" count="61" uniqueCount="57">
  <si>
    <t>1 - DESPESAS COM PESSOAL</t>
  </si>
  <si>
    <t>Salários</t>
  </si>
  <si>
    <t>Férias</t>
  </si>
  <si>
    <t>13º Salário</t>
  </si>
  <si>
    <t>FGTS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</si>
  <si>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</si>
  <si>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</si>
  <si>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</si>
  <si>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</si>
  <si>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</si>
  <si>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</si>
  <si>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</si>
  <si>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Aluguel + Cond. + IPTU + Seguro</t>
  </si>
  <si>
    <t>Serviços Contábeis</t>
  </si>
  <si>
    <t>Cursos + Seminários</t>
  </si>
  <si>
    <t>Energia Elétrica</t>
  </si>
  <si>
    <t>Material de Copa e Limpeza</t>
  </si>
  <si>
    <t>Material de Escritório + Consumo+TI</t>
  </si>
  <si>
    <t>Reuniões + Seminários + Eventos</t>
  </si>
  <si>
    <t>Combustível</t>
  </si>
  <si>
    <t>Telefone + Correio + Internet</t>
  </si>
  <si>
    <t>Faixas + Banners + Cartazes</t>
  </si>
  <si>
    <t>Total de Despesas Administrativas</t>
  </si>
  <si>
    <t>3 - DESPESAS COM VIAGENS</t>
  </si>
  <si>
    <t>Passagem Aérea + Estadia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</si>
  <si>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</si>
  <si>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</si>
  <si>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</si>
  <si>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</si>
  <si>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</si>
  <si>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</si>
  <si>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</si>
  <si>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Desp. c/ Projetos / Consultorias  Previsão</t>
  </si>
  <si>
    <t>Total de Despesas Específicas dos Programas</t>
  </si>
  <si>
    <t>Receitas de Custeio</t>
  </si>
  <si>
    <t>Outras Receitas</t>
  </si>
  <si>
    <t xml:space="preserve">INSS + IR + PIS </t>
  </si>
  <si>
    <t>Assinaturas Filiação em Entidades/Jornal</t>
  </si>
  <si>
    <t>Caixa Administrativo/desp diversas/cartão</t>
  </si>
  <si>
    <t xml:space="preserve">Despesas com TI </t>
  </si>
  <si>
    <t>IPVA + Documentação + Seguro / Manut. Locação Veic.</t>
  </si>
  <si>
    <t xml:space="preserve">Manutenção Hidráulica + Elétr. Geral </t>
  </si>
  <si>
    <t xml:space="preserve">Prestação Serv. Diversos </t>
  </si>
  <si>
    <t>Publicação Legal/Jornal</t>
  </si>
  <si>
    <t>Serviços Jurídicos Especiais + Auditória Externa</t>
  </si>
  <si>
    <t xml:space="preserve">Serviços de Limpeza e Jardim </t>
  </si>
  <si>
    <t>Seguro Escritorio</t>
  </si>
  <si>
    <t>Taxas+IOF+IR (Aplic. Finan.)/ Desp. Banco.Cofins, ICMS</t>
  </si>
  <si>
    <t>Refeições + Táxi + Outras+Diarias</t>
  </si>
  <si>
    <t xml:space="preserve">Prêmio </t>
  </si>
  <si>
    <t xml:space="preserve">Total  Geral </t>
  </si>
  <si>
    <t>DESPESA 3º QUADRIMESTRE 2025</t>
  </si>
  <si>
    <t>SETEMBRO</t>
  </si>
  <si>
    <t>OUTUBRO</t>
  </si>
  <si>
    <t>NOVEMBRO</t>
  </si>
  <si>
    <t>DEZEMBRO</t>
  </si>
  <si>
    <t>RECEITAS 3º QUADRIMESTRE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</si>
</sst>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9" fillId="0" borderId="1" xfId="0" applyFont="1" applyBorder="1"/>
    <xf numFmtId="0" fontId="9" fillId="3" borderId="1" xfId="0" applyFont="1" applyFill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/>
    <xf numFmtId="0" fontId="7" fillId="0" borderId="5" xfId="0" applyFont="1" applyBorder="1"/>
    <xf numFmtId="0" fontId="10" fillId="0" borderId="6" xfId="0" applyFont="1" applyBorder="1"/>
    <xf numFmtId="4" fontId="0" fillId="0" borderId="1" xfId="0" applyNumberFormat="1" applyBorder="1"/>
    <xf numFmtId="43" fontId="0" fillId="0" borderId="1" xfId="1" applyFont="1" applyBorder="1"/>
    <xf numFmtId="43" fontId="1" fillId="0" borderId="1" xfId="1" applyFont="1" applyBorder="1" applyAlignment="1">
      <alignment horizontal="right" vertical="center"/>
    </xf>
    <xf numFmtId="4" fontId="12" fillId="0" borderId="1" xfId="0" applyNumberFormat="1" applyFont="1" applyBorder="1"/>
    <xf numFmtId="43" fontId="12" fillId="0" borderId="1" xfId="1" applyFont="1" applyBorder="1"/>
    <xf numFmtId="2" fontId="12" fillId="0" borderId="1" xfId="1" applyNumberFormat="1" applyFont="1" applyBorder="1"/>
    <xf numFmtId="2" fontId="12" fillId="0" borderId="1" xfId="0" applyNumberFormat="1" applyFont="1" applyBorder="1"/>
    <xf numFmtId="43" fontId="2" fillId="0" borderId="1" xfId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9A86-817E-427E-852B-C8CD2D82405D}">
  <sheetPr>
    <pageSetUpPr fitToPage="1"/>
  </sheetPr>
  <dimension ref="A1:E54"/>
  <sheetViews>
    <sheetView tabSelected="1" topLeftCell="A4" workbookViewId="0">
      <selection activeCell="I26" sqref="I26"/>
    </sheetView>
  </sheetViews>
  <sheetFormatPr defaultRowHeight="15" x14ac:dyDescent="0.25"/>
  <cols>
    <col min="1" max="1" width="43.140625" customWidth="1"/>
    <col min="2" max="5" width="10.7109375" customWidth="1"/>
  </cols>
  <sheetData>
    <row r="1" spans="1:5" ht="15.75" x14ac:dyDescent="0.25">
      <c r="A1" s="28" t="s">
        <v>51</v>
      </c>
      <c r="B1" s="29"/>
      <c r="C1" s="29"/>
      <c r="D1" s="29"/>
      <c r="E1" s="30"/>
    </row>
    <row r="2" spans="1:5" x14ac:dyDescent="0.25">
      <c r="A2" s="16" t="s">
        <v>0</v>
      </c>
      <c r="B2" s="14" t="s">
        <v>52</v>
      </c>
      <c r="C2" s="14" t="s">
        <v>53</v>
      </c>
      <c r="D2" s="14" t="s">
        <v>54</v>
      </c>
      <c r="E2" s="14" t="s">
        <v>55</v>
      </c>
    </row>
    <row r="3" spans="1:5" x14ac:dyDescent="0.25">
      <c r="A3" s="2" t="s">
        <v>1</v>
      </c>
      <c r="B3" s="22">
        <v>109220</v>
      </c>
      <c r="C3" s="22">
        <f>43791+49787+21636.11</f>
        <v>115214.11</v>
      </c>
      <c r="D3" s="22">
        <v>94885.07</v>
      </c>
      <c r="E3" s="23">
        <v>85406</v>
      </c>
    </row>
    <row r="4" spans="1:5" x14ac:dyDescent="0.25">
      <c r="A4" s="2" t="s">
        <v>2</v>
      </c>
      <c r="B4" s="22">
        <v>0</v>
      </c>
      <c r="C4" s="22">
        <v>10607</v>
      </c>
      <c r="D4" s="22">
        <v>18668</v>
      </c>
      <c r="E4" s="23">
        <v>14008</v>
      </c>
    </row>
    <row r="5" spans="1:5" x14ac:dyDescent="0.25">
      <c r="A5" s="2" t="s">
        <v>3</v>
      </c>
      <c r="B5" s="22">
        <v>0</v>
      </c>
      <c r="C5" s="22">
        <v>0</v>
      </c>
      <c r="D5" s="22">
        <v>86477</v>
      </c>
      <c r="E5" s="24">
        <v>0</v>
      </c>
    </row>
    <row r="6" spans="1:5" ht="15.75" customHeight="1" x14ac:dyDescent="0.25">
      <c r="A6" s="2" t="s">
        <v>36</v>
      </c>
      <c r="B6" s="22">
        <v>79944.009999999995</v>
      </c>
      <c r="C6" s="22">
        <v>82747.97</v>
      </c>
      <c r="D6" s="22">
        <v>80408.509999999995</v>
      </c>
      <c r="E6" s="23">
        <v>118578.5</v>
      </c>
    </row>
    <row r="7" spans="1:5" x14ac:dyDescent="0.25">
      <c r="A7" s="2" t="s">
        <v>4</v>
      </c>
      <c r="B7" s="22">
        <v>12144.95</v>
      </c>
      <c r="C7" s="22">
        <v>10985.36</v>
      </c>
      <c r="D7" s="22">
        <v>11371.13</v>
      </c>
      <c r="E7" s="23">
        <v>17672.82</v>
      </c>
    </row>
    <row r="8" spans="1:5" x14ac:dyDescent="0.25">
      <c r="A8" s="2" t="s">
        <v>5</v>
      </c>
      <c r="B8" s="22">
        <v>1400.54</v>
      </c>
      <c r="C8" s="22">
        <v>708.9</v>
      </c>
      <c r="D8" s="22">
        <v>634.55999999999995</v>
      </c>
      <c r="E8" s="23">
        <v>609.75</v>
      </c>
    </row>
    <row r="9" spans="1:5" x14ac:dyDescent="0.25">
      <c r="A9" s="2" t="s">
        <v>6</v>
      </c>
      <c r="B9" s="22">
        <v>13235.17</v>
      </c>
      <c r="C9" s="22">
        <v>14864.11</v>
      </c>
      <c r="D9" s="22">
        <v>13235.17</v>
      </c>
      <c r="E9" s="23">
        <v>12237.08</v>
      </c>
    </row>
    <row r="10" spans="1:5" x14ac:dyDescent="0.25">
      <c r="A10" s="2" t="s">
        <v>7</v>
      </c>
      <c r="B10" s="22">
        <v>17712.419999999998</v>
      </c>
      <c r="C10" s="22">
        <v>19815.14</v>
      </c>
      <c r="D10" s="22">
        <f>17991.77-2102.72</f>
        <v>15889.050000000001</v>
      </c>
      <c r="E10" s="23">
        <f>19627.5-1051.36</f>
        <v>18576.14</v>
      </c>
    </row>
    <row r="11" spans="1:5" x14ac:dyDescent="0.25">
      <c r="A11" s="2" t="s">
        <v>49</v>
      </c>
      <c r="B11" s="22">
        <v>0</v>
      </c>
      <c r="C11" s="22">
        <v>0</v>
      </c>
      <c r="D11" s="25">
        <v>0</v>
      </c>
      <c r="E11" s="24">
        <v>0</v>
      </c>
    </row>
    <row r="12" spans="1:5" x14ac:dyDescent="0.25">
      <c r="A12" s="2" t="s">
        <v>8</v>
      </c>
      <c r="B12" s="22">
        <v>0</v>
      </c>
      <c r="C12" s="22">
        <v>0</v>
      </c>
      <c r="D12" s="25">
        <v>0</v>
      </c>
      <c r="E12" s="24">
        <v>0</v>
      </c>
    </row>
    <row r="13" spans="1:5" x14ac:dyDescent="0.25">
      <c r="A13" s="12" t="s">
        <v>9</v>
      </c>
      <c r="B13" s="1">
        <f t="shared" ref="B13:E13" si="0">SUM(B3:B12)</f>
        <v>233657.09000000003</v>
      </c>
      <c r="C13" s="1">
        <f t="shared" si="0"/>
        <v>254942.59000000003</v>
      </c>
      <c r="D13" s="1">
        <f t="shared" si="0"/>
        <v>321568.49</v>
      </c>
      <c r="E13" s="21">
        <f t="shared" si="0"/>
        <v>267088.28999999998</v>
      </c>
    </row>
    <row r="14" spans="1:5" x14ac:dyDescent="0.25">
      <c r="A14" s="16" t="s">
        <v>10</v>
      </c>
      <c r="B14" s="8"/>
      <c r="C14" s="8"/>
      <c r="D14" s="8"/>
      <c r="E14" s="8"/>
    </row>
    <row r="15" spans="1:5" x14ac:dyDescent="0.25">
      <c r="A15" s="3" t="s">
        <v>37</v>
      </c>
      <c r="B15" s="22">
        <v>55.9</v>
      </c>
      <c r="C15" s="22">
        <v>55.9</v>
      </c>
      <c r="D15" s="22">
        <v>55.9</v>
      </c>
      <c r="E15" s="23">
        <v>55.9</v>
      </c>
    </row>
    <row r="16" spans="1:5" x14ac:dyDescent="0.25">
      <c r="A16" s="2" t="s">
        <v>12</v>
      </c>
      <c r="B16" s="22">
        <v>18788.86</v>
      </c>
      <c r="C16" s="22">
        <f>18927.8+1055</f>
        <v>19982.8</v>
      </c>
      <c r="D16" s="22">
        <f>5867.83+13460.28</f>
        <v>19328.11</v>
      </c>
      <c r="E16" s="23">
        <f>18788.7</f>
        <v>18788.7</v>
      </c>
    </row>
    <row r="17" spans="1:5" x14ac:dyDescent="0.25">
      <c r="A17" s="3" t="s">
        <v>14</v>
      </c>
      <c r="B17" s="22"/>
      <c r="C17" s="22">
        <v>0</v>
      </c>
      <c r="D17" s="22">
        <v>925</v>
      </c>
      <c r="E17" s="23"/>
    </row>
    <row r="18" spans="1:5" x14ac:dyDescent="0.25">
      <c r="A18" s="3" t="s">
        <v>38</v>
      </c>
      <c r="B18" s="22">
        <f>2250+500+3607.91</f>
        <v>6357.91</v>
      </c>
      <c r="C18" s="22">
        <f>500+500+500+3192.73+129+69</f>
        <v>4890.7299999999996</v>
      </c>
      <c r="D18" s="22">
        <f>500+1000+1000+11505.75</f>
        <v>14005.75</v>
      </c>
      <c r="E18" s="23">
        <f>1000+1000+2183.24</f>
        <v>4183.24</v>
      </c>
    </row>
    <row r="19" spans="1:5" x14ac:dyDescent="0.25">
      <c r="A19" s="3" t="s">
        <v>19</v>
      </c>
      <c r="B19" s="22">
        <v>2466.3000000000002</v>
      </c>
      <c r="C19" s="22">
        <v>1502.71</v>
      </c>
      <c r="D19" s="22">
        <v>2332.64</v>
      </c>
      <c r="E19" s="23">
        <f>1203.4+974</f>
        <v>2177.4</v>
      </c>
    </row>
    <row r="20" spans="1:5" x14ac:dyDescent="0.25">
      <c r="A20" s="3" t="s">
        <v>39</v>
      </c>
      <c r="B20" s="22">
        <f>1500+2820.82+1187.46</f>
        <v>5508.28</v>
      </c>
      <c r="C20" s="22">
        <f>1500+284.56+2820.82+1187.46</f>
        <v>5792.84</v>
      </c>
      <c r="D20" s="22">
        <f>1500+284.56+2820.82+1187.46</f>
        <v>5792.84</v>
      </c>
      <c r="E20" s="23">
        <f>1500+284.56+2820.82+1187.46</f>
        <v>5792.84</v>
      </c>
    </row>
    <row r="21" spans="1:5" x14ac:dyDescent="0.25">
      <c r="A21" s="2" t="s">
        <v>11</v>
      </c>
      <c r="B21" s="22">
        <v>7218.29</v>
      </c>
      <c r="C21" s="22">
        <v>7225.6</v>
      </c>
      <c r="D21" s="22">
        <v>11884.96</v>
      </c>
      <c r="E21" s="23">
        <v>11941.83</v>
      </c>
    </row>
    <row r="22" spans="1:5" x14ac:dyDescent="0.25">
      <c r="A22" s="3" t="s">
        <v>15</v>
      </c>
      <c r="B22" s="5">
        <v>2078.86</v>
      </c>
      <c r="C22" s="5">
        <v>3050.97</v>
      </c>
      <c r="D22" s="5">
        <v>3114.56</v>
      </c>
      <c r="E22" s="26">
        <v>2727.16</v>
      </c>
    </row>
    <row r="23" spans="1:5" x14ac:dyDescent="0.25">
      <c r="A23" s="3" t="s">
        <v>21</v>
      </c>
      <c r="B23" s="22">
        <f>331.9+82</f>
        <v>413.9</v>
      </c>
      <c r="C23" s="22">
        <v>331.9</v>
      </c>
      <c r="D23" s="22">
        <v>210</v>
      </c>
      <c r="E23" s="24">
        <v>0</v>
      </c>
    </row>
    <row r="24" spans="1:5" x14ac:dyDescent="0.25">
      <c r="A24" s="3" t="s">
        <v>40</v>
      </c>
      <c r="B24" s="22">
        <v>1055</v>
      </c>
      <c r="C24" s="22">
        <v>130</v>
      </c>
      <c r="D24" s="22">
        <f>600+1649.31</f>
        <v>2249.31</v>
      </c>
      <c r="E24" s="23">
        <v>1649.3</v>
      </c>
    </row>
    <row r="25" spans="1:5" x14ac:dyDescent="0.25">
      <c r="A25" s="3" t="s">
        <v>41</v>
      </c>
      <c r="B25" s="22">
        <f>3900+3900+2495.54+300</f>
        <v>10595.54</v>
      </c>
      <c r="C25" s="22">
        <f>4315.02+320</f>
        <v>4635.0200000000004</v>
      </c>
      <c r="D25" s="22">
        <v>0</v>
      </c>
      <c r="E25" s="23">
        <v>695</v>
      </c>
    </row>
    <row r="26" spans="1:5" x14ac:dyDescent="0.25">
      <c r="A26" s="3" t="s">
        <v>17</v>
      </c>
      <c r="B26" s="22">
        <f>515+95.4+200</f>
        <v>810.4</v>
      </c>
      <c r="C26" s="22">
        <f>618.02+1015.3</f>
        <v>1633.32</v>
      </c>
      <c r="D26" s="22">
        <v>0</v>
      </c>
      <c r="E26" s="23">
        <v>164.49</v>
      </c>
    </row>
    <row r="27" spans="1:5" x14ac:dyDescent="0.25">
      <c r="A27" s="3" t="s">
        <v>16</v>
      </c>
      <c r="B27" s="22">
        <v>459.6</v>
      </c>
      <c r="C27" s="22">
        <f>765.87</f>
        <v>765.87</v>
      </c>
      <c r="D27" s="22">
        <v>0</v>
      </c>
      <c r="E27" s="23">
        <v>759.49</v>
      </c>
    </row>
    <row r="28" spans="1:5" x14ac:dyDescent="0.25">
      <c r="A28" s="2" t="s">
        <v>42</v>
      </c>
      <c r="B28" s="22">
        <f>434+3340+43.2+69+7000+5600</f>
        <v>16486.2</v>
      </c>
      <c r="C28" s="22">
        <f>1500+4606.96</f>
        <v>6106.96</v>
      </c>
      <c r="D28" s="22">
        <f>434+88+37.2+115.34+69+905+905+5600</f>
        <v>8153.54</v>
      </c>
      <c r="E28" s="23">
        <f>56.23+434+3934+390</f>
        <v>4814.2299999999996</v>
      </c>
    </row>
    <row r="29" spans="1:5" x14ac:dyDescent="0.25">
      <c r="A29" s="3" t="s">
        <v>43</v>
      </c>
      <c r="B29" s="22">
        <v>980.4</v>
      </c>
      <c r="C29" s="22">
        <f>486+2328.45</f>
        <v>2814.45</v>
      </c>
      <c r="D29" s="22">
        <v>1960.8</v>
      </c>
      <c r="E29" s="23">
        <f>756+1470.6</f>
        <v>2226.6</v>
      </c>
    </row>
    <row r="30" spans="1:5" x14ac:dyDescent="0.25">
      <c r="A30" s="3" t="s">
        <v>18</v>
      </c>
      <c r="B30" s="22">
        <v>246</v>
      </c>
      <c r="C30" s="22">
        <f>2823.12+6244+55546+3400+990</f>
        <v>69003.12</v>
      </c>
      <c r="D30" s="22">
        <f>3672+3400+9774.8+800+1000+88873.6</f>
        <v>107520.40000000001</v>
      </c>
      <c r="E30" s="23">
        <f>38300+84194.4+576.12+430</f>
        <v>123500.51999999999</v>
      </c>
    </row>
    <row r="31" spans="1:5" x14ac:dyDescent="0.25">
      <c r="A31" s="2" t="s">
        <v>13</v>
      </c>
      <c r="B31" s="22">
        <v>5776.82</v>
      </c>
      <c r="C31" s="22">
        <v>5200.33</v>
      </c>
      <c r="D31" s="22">
        <f>5140.33+60.23</f>
        <v>5200.5599999999995</v>
      </c>
      <c r="E31" s="23">
        <v>5140.33</v>
      </c>
    </row>
    <row r="32" spans="1:5" x14ac:dyDescent="0.25">
      <c r="A32" s="2" t="s">
        <v>44</v>
      </c>
      <c r="B32" s="22">
        <v>1541.8</v>
      </c>
      <c r="C32" s="22">
        <v>1541.8</v>
      </c>
      <c r="D32" s="22">
        <v>1541.8</v>
      </c>
      <c r="E32" s="23">
        <v>1541.8</v>
      </c>
    </row>
    <row r="33" spans="1:5" x14ac:dyDescent="0.25">
      <c r="A33" s="3" t="s">
        <v>45</v>
      </c>
      <c r="B33" s="22">
        <f>1559.04+4525.24+92.8+143.75+210+3528</f>
        <v>10058.83</v>
      </c>
      <c r="C33" s="22">
        <f>3711.12+4525.24+1346.7</f>
        <v>9583.0600000000013</v>
      </c>
      <c r="D33" s="22">
        <f>4525.24+1559.04+238.17+238.17+220.9+205.1+92.8+3711.12</f>
        <v>10790.54</v>
      </c>
      <c r="E33" s="23">
        <f>1559.04+4525.24+3711.12+92.8+205.1+220.9+238.17</f>
        <v>10552.369999999999</v>
      </c>
    </row>
    <row r="34" spans="1:5" x14ac:dyDescent="0.25">
      <c r="A34" s="3" t="s">
        <v>46</v>
      </c>
      <c r="B34" s="22">
        <v>0</v>
      </c>
      <c r="C34" s="22">
        <v>0</v>
      </c>
      <c r="D34" s="22"/>
      <c r="E34" s="23"/>
    </row>
    <row r="35" spans="1:5" x14ac:dyDescent="0.25">
      <c r="A35" s="3" t="s">
        <v>20</v>
      </c>
      <c r="B35" s="5">
        <v>4433.5</v>
      </c>
      <c r="C35" s="5">
        <f>3742.21+814.22</f>
        <v>4556.43</v>
      </c>
      <c r="D35" s="5">
        <f>3394.93</f>
        <v>3394.93</v>
      </c>
      <c r="E35" s="26">
        <v>4149.12</v>
      </c>
    </row>
    <row r="36" spans="1:5" x14ac:dyDescent="0.25">
      <c r="A36" s="4" t="s">
        <v>47</v>
      </c>
      <c r="B36" s="22">
        <f>2905.5+350.5+238.68+2613.36</f>
        <v>6108.04</v>
      </c>
      <c r="C36" s="22">
        <f>131.6+3018.06+418.2</f>
        <v>3567.8599999999997</v>
      </c>
      <c r="D36" s="22">
        <f>2992.32+2260.7+108+1732.84</f>
        <v>7093.8600000000006</v>
      </c>
      <c r="E36" s="23">
        <f>118.64+2490.07+363.32+11.9</f>
        <v>2983.9300000000003</v>
      </c>
    </row>
    <row r="37" spans="1:5" x14ac:dyDescent="0.25">
      <c r="A37" s="12" t="s">
        <v>22</v>
      </c>
      <c r="B37" s="1">
        <f>SUM(B15:B36)</f>
        <v>101440.43000000001</v>
      </c>
      <c r="C37" s="1">
        <f t="shared" ref="C37:E37" si="1">SUM(C15:C36)</f>
        <v>152371.66999999995</v>
      </c>
      <c r="D37" s="1">
        <f t="shared" si="1"/>
        <v>205555.5</v>
      </c>
      <c r="E37" s="1">
        <f t="shared" si="1"/>
        <v>203844.24999999994</v>
      </c>
    </row>
    <row r="38" spans="1:5" x14ac:dyDescent="0.25">
      <c r="A38" s="16" t="s">
        <v>23</v>
      </c>
    </row>
    <row r="39" spans="1:5" x14ac:dyDescent="0.25">
      <c r="A39" s="6" t="s">
        <v>24</v>
      </c>
      <c r="B39" s="22">
        <v>0</v>
      </c>
      <c r="C39" s="22">
        <v>1485</v>
      </c>
      <c r="D39" s="22">
        <v>0</v>
      </c>
      <c r="E39" s="23">
        <v>13985.22</v>
      </c>
    </row>
    <row r="40" spans="1:5" x14ac:dyDescent="0.25">
      <c r="A40" s="6" t="s">
        <v>48</v>
      </c>
      <c r="B40" s="22">
        <v>8530.86</v>
      </c>
      <c r="C40" s="22">
        <f>5231.85-1776.84-91.26</f>
        <v>3363.75</v>
      </c>
      <c r="D40" s="22">
        <f>7293.22-515.03</f>
        <v>6778.1900000000005</v>
      </c>
      <c r="E40" s="23">
        <f>9818.29-1603.84</f>
        <v>8214.4500000000007</v>
      </c>
    </row>
    <row r="41" spans="1:5" x14ac:dyDescent="0.25">
      <c r="A41" s="6" t="s">
        <v>25</v>
      </c>
      <c r="B41" s="22">
        <v>0</v>
      </c>
      <c r="C41" s="22">
        <v>11122.86</v>
      </c>
      <c r="D41" s="22">
        <v>0</v>
      </c>
      <c r="E41" s="23">
        <v>0</v>
      </c>
    </row>
    <row r="42" spans="1:5" x14ac:dyDescent="0.25">
      <c r="A42" s="12" t="s">
        <v>26</v>
      </c>
      <c r="B42" s="1">
        <f t="shared" ref="B42:E42" si="2">SUM(B39:B41)</f>
        <v>8530.86</v>
      </c>
      <c r="C42" s="1">
        <f t="shared" si="2"/>
        <v>15971.61</v>
      </c>
      <c r="D42" s="1">
        <f t="shared" si="2"/>
        <v>6778.1900000000005</v>
      </c>
      <c r="E42" s="21">
        <f t="shared" si="2"/>
        <v>22199.67</v>
      </c>
    </row>
    <row r="43" spans="1:5" x14ac:dyDescent="0.25">
      <c r="A43" s="16" t="s">
        <v>27</v>
      </c>
      <c r="B43" s="8"/>
      <c r="C43" s="8"/>
      <c r="D43" s="8"/>
      <c r="E43" s="8"/>
    </row>
    <row r="44" spans="1:5" x14ac:dyDescent="0.25">
      <c r="A44" s="6" t="s">
        <v>28</v>
      </c>
      <c r="B44" s="22">
        <v>3386.2</v>
      </c>
      <c r="C44" s="22">
        <v>0</v>
      </c>
      <c r="D44" s="22">
        <v>0</v>
      </c>
      <c r="E44" s="24">
        <v>0</v>
      </c>
    </row>
    <row r="45" spans="1:5" x14ac:dyDescent="0.25">
      <c r="A45" s="6" t="s">
        <v>29</v>
      </c>
      <c r="B45" s="22">
        <v>0</v>
      </c>
      <c r="C45" s="22">
        <v>0</v>
      </c>
      <c r="D45" s="22">
        <v>0</v>
      </c>
      <c r="E45" s="24">
        <v>0</v>
      </c>
    </row>
    <row r="46" spans="1:5" x14ac:dyDescent="0.25">
      <c r="A46" s="12" t="s">
        <v>30</v>
      </c>
      <c r="B46" s="1">
        <f t="shared" ref="B46:E46" si="3">SUM(B44:B45)</f>
        <v>3386.2</v>
      </c>
      <c r="C46" s="1">
        <f t="shared" si="3"/>
        <v>0</v>
      </c>
      <c r="D46" s="1">
        <f t="shared" si="3"/>
        <v>0</v>
      </c>
      <c r="E46" s="27">
        <f t="shared" si="3"/>
        <v>0</v>
      </c>
    </row>
    <row r="47" spans="1:5" x14ac:dyDescent="0.25">
      <c r="A47" s="13" t="s">
        <v>31</v>
      </c>
      <c r="B47" s="8"/>
      <c r="C47" s="8"/>
      <c r="D47" s="8"/>
      <c r="E47" s="8"/>
    </row>
    <row r="48" spans="1:5" x14ac:dyDescent="0.25">
      <c r="A48" s="8" t="s">
        <v>32</v>
      </c>
      <c r="B48" s="19"/>
      <c r="C48" s="19"/>
      <c r="D48" s="19"/>
      <c r="E48" s="20"/>
    </row>
    <row r="49" spans="1:5" x14ac:dyDescent="0.25">
      <c r="A49" s="12" t="s">
        <v>33</v>
      </c>
      <c r="B49" s="19"/>
      <c r="C49" s="19">
        <v>200000</v>
      </c>
      <c r="D49" s="19"/>
      <c r="E49" s="20"/>
    </row>
    <row r="50" spans="1:5" x14ac:dyDescent="0.25">
      <c r="A50" s="15" t="s">
        <v>50</v>
      </c>
      <c r="B50" s="1">
        <f>B13+B37+B42+B46+B49</f>
        <v>347014.58</v>
      </c>
      <c r="C50" s="1">
        <f t="shared" ref="C50:E50" si="4">C13+C37+C42+C46+C49</f>
        <v>623285.87</v>
      </c>
      <c r="D50" s="1">
        <f t="shared" si="4"/>
        <v>533902.17999999993</v>
      </c>
      <c r="E50" s="1">
        <f t="shared" si="4"/>
        <v>493132.2099999999</v>
      </c>
    </row>
    <row r="51" spans="1:5" x14ac:dyDescent="0.25">
      <c r="A51" s="11"/>
      <c r="B51" s="9"/>
      <c r="C51" s="9"/>
      <c r="D51" s="9"/>
      <c r="E51" s="9"/>
    </row>
    <row r="52" spans="1:5" ht="15.75" x14ac:dyDescent="0.25">
      <c r="A52" s="18" t="s">
        <v>56</v>
      </c>
      <c r="B52" s="14" t="s">
        <v>52</v>
      </c>
      <c r="C52" s="14" t="s">
        <v>53</v>
      </c>
      <c r="D52" s="14" t="s">
        <v>54</v>
      </c>
      <c r="E52" s="14" t="s">
        <v>55</v>
      </c>
    </row>
    <row r="53" spans="1:5" x14ac:dyDescent="0.25">
      <c r="A53" s="17" t="s">
        <v>34</v>
      </c>
      <c r="B53" s="7">
        <f>205236+74776</f>
        <v>280012</v>
      </c>
      <c r="C53" s="7">
        <f>205236+50404</f>
        <v>255640</v>
      </c>
      <c r="D53" s="7">
        <f>205241.14+48572.2</f>
        <v>253813.34000000003</v>
      </c>
      <c r="E53" s="7">
        <f>83067+205236</f>
        <v>288303</v>
      </c>
    </row>
    <row r="54" spans="1:5" x14ac:dyDescent="0.25">
      <c r="A54" s="10" t="s">
        <v>35</v>
      </c>
      <c r="B54" s="7">
        <f>12285.88+12970.14+20610.67</f>
        <v>45866.689999999995</v>
      </c>
      <c r="C54" s="7">
        <f>85982.04+8003.23</f>
        <v>93985.26999999999</v>
      </c>
      <c r="D54" s="7">
        <f>26994.54+6113.96</f>
        <v>33108.5</v>
      </c>
      <c r="E54" s="7">
        <f>5649.9+52593.78+2691.3</f>
        <v>60934.98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fitToHeight="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QUADRIMESTRE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Nonato - Consórcio PCJ</dc:creator>
  <cp:lastModifiedBy>Hiago Sacciloto - Consórcio PCJ</cp:lastModifiedBy>
  <cp:lastPrinted>2026-01-14T16:54:23Z</cp:lastPrinted>
  <dcterms:created xsi:type="dcterms:W3CDTF">2025-01-14T19:34:35Z</dcterms:created>
  <dcterms:modified xsi:type="dcterms:W3CDTF">2026-01-14T16:54:29Z</dcterms:modified>
</cp:coreProperties>
</file>