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mara.nonato\OneDrive - Consórcio Intermunicipal das Bacias dos Rios PCJ\Documentos\"/>
    </mc:Choice>
  </mc:AlternateContent>
  <xr:revisionPtr revIDLastSave="0" documentId="13_ncr:1_{FAE7EBC4-3544-4153-B317-C3010A616ECA}" xr6:coauthVersionLast="47" xr6:coauthVersionMax="47" xr10:uidLastSave="{00000000-0000-0000-0000-000000000000}"/>
  <bookViews>
    <workbookView xWindow="-120" yWindow="-120" windowWidth="29040" windowHeight="15720" xr2:uid="{FEAF5A93-7245-4492-8AB8-831369EFE3FA}"/>
  </bookViews>
  <sheets>
    <sheet name="2º QUADRIMEST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E53" i="2"/>
  <c r="D54" i="2"/>
  <c r="D53" i="2"/>
  <c r="C54" i="2"/>
  <c r="C53" i="2"/>
  <c r="B54" i="2"/>
  <c r="B53" i="2"/>
  <c r="E46" i="2"/>
  <c r="B46" i="2"/>
  <c r="D45" i="2"/>
  <c r="D46" i="2" s="1"/>
  <c r="C45" i="2"/>
  <c r="C46" i="2" s="1"/>
  <c r="E40" i="2"/>
  <c r="D40" i="2"/>
  <c r="C40" i="2"/>
  <c r="B40" i="2"/>
  <c r="E36" i="2"/>
  <c r="D36" i="2"/>
  <c r="C36" i="2"/>
  <c r="B36" i="2"/>
  <c r="B35" i="2"/>
  <c r="E33" i="2"/>
  <c r="D33" i="2"/>
  <c r="C33" i="2"/>
  <c r="B33" i="2"/>
  <c r="E32" i="2"/>
  <c r="C32" i="2"/>
  <c r="B32" i="2"/>
  <c r="D30" i="2"/>
  <c r="C30" i="2"/>
  <c r="D29" i="2"/>
  <c r="E28" i="2"/>
  <c r="D28" i="2"/>
  <c r="C28" i="2"/>
  <c r="B28" i="2"/>
  <c r="B26" i="2"/>
  <c r="B25" i="2"/>
  <c r="C24" i="2"/>
  <c r="E21" i="2"/>
  <c r="C21" i="2"/>
  <c r="B21" i="2"/>
  <c r="E20" i="2"/>
  <c r="D20" i="2"/>
  <c r="D37" i="2" s="1"/>
  <c r="C20" i="2"/>
  <c r="C37" i="2" s="1"/>
  <c r="B20" i="2"/>
  <c r="B19" i="2"/>
  <c r="E18" i="2"/>
  <c r="D18" i="2"/>
  <c r="C18" i="2"/>
  <c r="B18" i="2"/>
  <c r="E16" i="2"/>
  <c r="E37" i="2" s="1"/>
  <c r="C16" i="2"/>
  <c r="B16" i="2"/>
  <c r="B37" i="2" s="1"/>
  <c r="C11" i="2"/>
  <c r="E10" i="2"/>
  <c r="E13" i="2" s="1"/>
  <c r="D10" i="2"/>
  <c r="D13" i="2" s="1"/>
  <c r="C10" i="2"/>
  <c r="B10" i="2"/>
  <c r="B13" i="2" s="1"/>
  <c r="C3" i="2"/>
  <c r="C13" i="2" l="1"/>
  <c r="E42" i="2" l="1"/>
  <c r="E50" i="2" s="1"/>
  <c r="D42" i="2"/>
  <c r="D50" i="2" s="1"/>
  <c r="C42" i="2"/>
  <c r="C50" i="2" s="1"/>
  <c r="B42" i="2"/>
  <c r="B50" i="2" s="1"/>
</calcChain>
</file>

<file path=xl/sharedStrings.xml><?xml version="1.0" encoding="utf-8"?>
<sst xmlns="http://schemas.openxmlformats.org/spreadsheetml/2006/main" count="61" uniqueCount="57">
  <si>
    <t>1 - DESPESAS COM PESSOAL</t>
  </si>
  <si>
    <t>Salários</t>
  </si>
  <si>
    <t>Férias</t>
  </si>
  <si>
    <t>13º Salário</t>
  </si>
  <si>
    <t>FGTS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</si>
  <si>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</si>
  <si>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</si>
  <si>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</si>
  <si>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</si>
  <si>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</si>
  <si>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</si>
  <si>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</si>
  <si>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Aluguel + Cond. + IPTU + Seguro</t>
  </si>
  <si>
    <t>Serviços Contábeis</t>
  </si>
  <si>
    <t>Cursos + Seminários</t>
  </si>
  <si>
    <t>Energia Elétrica</t>
  </si>
  <si>
    <t>Material de Copa e Limpeza</t>
  </si>
  <si>
    <t>Material de Escritório + Consumo+TI</t>
  </si>
  <si>
    <t>Reuniões + Seminários + Eventos</t>
  </si>
  <si>
    <t>Combustível</t>
  </si>
  <si>
    <t>Telefone + Correio + Internet</t>
  </si>
  <si>
    <t>Faixas + Banners + Cartazes</t>
  </si>
  <si>
    <t>Total de Despesas Administrativas</t>
  </si>
  <si>
    <t>3 - DESPESAS COM VIAGENS</t>
  </si>
  <si>
    <t>Passagem Aérea + Estadia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</si>
  <si>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</si>
  <si>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</si>
  <si>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</si>
  <si>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</si>
  <si>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</si>
  <si>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</si>
  <si>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</si>
  <si>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Desp. c/ Projetos / Consultorias  Previsão</t>
  </si>
  <si>
    <t>Total de Despesas Específicas dos Programas</t>
  </si>
  <si>
    <t>Receitas de Custeio</t>
  </si>
  <si>
    <t>Outras Receitas</t>
  </si>
  <si>
    <t xml:space="preserve">INSS + IR + PIS </t>
  </si>
  <si>
    <t>Assinaturas Filiação em Entidades/Jornal</t>
  </si>
  <si>
    <t>Caixa Administrativo/desp diversas/cartão</t>
  </si>
  <si>
    <t xml:space="preserve">Despesas com TI </t>
  </si>
  <si>
    <t>IPVA + Documentação + Seguro / Manut. Locação Veic.</t>
  </si>
  <si>
    <t xml:space="preserve">Manutenção Hidráulica + Elétr. Geral </t>
  </si>
  <si>
    <t xml:space="preserve">Prestação Serv. Diversos </t>
  </si>
  <si>
    <t>Publicação Legal/Jornal</t>
  </si>
  <si>
    <t>Serviços Jurídicos Especiais + Auditória Externa</t>
  </si>
  <si>
    <t xml:space="preserve">Serviços de Limpeza e Jardim </t>
  </si>
  <si>
    <t>Seguro Escritorio</t>
  </si>
  <si>
    <t>Taxas+IOF+IR (Aplic. Finan.)/ Desp. Banco.Cofins, ICMS</t>
  </si>
  <si>
    <t>Refeições + Táxi + Outras+Diarias</t>
  </si>
  <si>
    <t xml:space="preserve">Prêmio </t>
  </si>
  <si>
    <t>MAIO</t>
  </si>
  <si>
    <t>JUNHO</t>
  </si>
  <si>
    <t>JULHO</t>
  </si>
  <si>
    <t>AGOSTO</t>
  </si>
  <si>
    <t xml:space="preserve">Total  Geral </t>
  </si>
  <si>
    <t>DESPESA 2º QUADRIMESTRE 2025</t>
  </si>
  <si>
    <t>RECEITAS 2º QUADRIMESTRE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</si>
</sst>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" fontId="4" fillId="0" borderId="1" xfId="0" applyNumberFormat="1" applyFont="1" applyBorder="1"/>
    <xf numFmtId="0" fontId="4" fillId="0" borderId="1" xfId="0" applyFont="1" applyBorder="1"/>
    <xf numFmtId="4" fontId="0" fillId="0" borderId="0" xfId="0" applyNumberForma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3" borderId="1" xfId="0" applyFont="1" applyFill="1" applyBorder="1"/>
    <xf numFmtId="0" fontId="8" fillId="0" borderId="6" xfId="0" applyFont="1" applyBorder="1"/>
    <xf numFmtId="4" fontId="1" fillId="0" borderId="4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8A83-A88D-4A8C-9CB7-E138F31C4ACF}">
  <sheetPr>
    <pageSetUpPr fitToPage="1"/>
  </sheetPr>
  <dimension ref="A1:E57"/>
  <sheetViews>
    <sheetView tabSelected="1" zoomScaleNormal="100" workbookViewId="0">
      <selection activeCell="A52" sqref="A52"/>
    </sheetView>
  </sheetViews>
  <sheetFormatPr defaultRowHeight="15" x14ac:dyDescent="0.25"/>
  <cols>
    <col min="1" max="1" width="43.140625" customWidth="1"/>
    <col min="2" max="2" width="12.42578125" customWidth="1"/>
    <col min="3" max="3" width="9.85546875" customWidth="1"/>
    <col min="4" max="4" width="10" customWidth="1"/>
    <col min="5" max="5" width="11" customWidth="1"/>
  </cols>
  <sheetData>
    <row r="1" spans="1:5" ht="15.75" x14ac:dyDescent="0.25">
      <c r="A1" s="16" t="s">
        <v>55</v>
      </c>
      <c r="B1" s="11"/>
      <c r="C1" s="11"/>
      <c r="D1" s="11"/>
      <c r="E1" s="11"/>
    </row>
    <row r="2" spans="1:5" x14ac:dyDescent="0.25">
      <c r="A2" s="17" t="s">
        <v>0</v>
      </c>
      <c r="B2" s="13" t="s">
        <v>50</v>
      </c>
      <c r="C2" s="13" t="s">
        <v>51</v>
      </c>
      <c r="D2" s="13" t="s">
        <v>52</v>
      </c>
      <c r="E2" s="13" t="s">
        <v>53</v>
      </c>
    </row>
    <row r="3" spans="1:5" x14ac:dyDescent="0.25">
      <c r="A3" s="2" t="s">
        <v>1</v>
      </c>
      <c r="B3" s="7">
        <v>103398</v>
      </c>
      <c r="C3" s="7">
        <f>45764+54339</f>
        <v>100103</v>
      </c>
      <c r="D3" s="7">
        <v>95160</v>
      </c>
      <c r="E3" s="7">
        <v>99476</v>
      </c>
    </row>
    <row r="4" spans="1:5" x14ac:dyDescent="0.25">
      <c r="A4" s="2" t="s">
        <v>2</v>
      </c>
      <c r="B4" s="7">
        <v>37695</v>
      </c>
      <c r="C4" s="7">
        <v>0</v>
      </c>
      <c r="D4" s="7">
        <v>36320</v>
      </c>
      <c r="E4" s="7">
        <v>0</v>
      </c>
    </row>
    <row r="5" spans="1:5" x14ac:dyDescent="0.25">
      <c r="A5" s="2" t="s">
        <v>3</v>
      </c>
      <c r="B5" s="7">
        <v>0</v>
      </c>
      <c r="C5" s="7">
        <v>0</v>
      </c>
      <c r="D5" s="7">
        <v>0</v>
      </c>
      <c r="E5" s="7">
        <v>0</v>
      </c>
    </row>
    <row r="6" spans="1:5" ht="15.75" customHeight="1" x14ac:dyDescent="0.25">
      <c r="A6" s="2" t="s">
        <v>36</v>
      </c>
      <c r="B6" s="7">
        <v>82929.37</v>
      </c>
      <c r="C6" s="7">
        <v>84886.9</v>
      </c>
      <c r="D6" s="7">
        <v>78258.11</v>
      </c>
      <c r="E6" s="7">
        <v>86582.35</v>
      </c>
    </row>
    <row r="7" spans="1:5" x14ac:dyDescent="0.25">
      <c r="A7" s="2" t="s">
        <v>4</v>
      </c>
      <c r="B7" s="7">
        <v>12329.65</v>
      </c>
      <c r="C7" s="7">
        <v>13463.45</v>
      </c>
      <c r="D7" s="7">
        <v>12706.31</v>
      </c>
      <c r="E7" s="7">
        <v>12930.06</v>
      </c>
    </row>
    <row r="8" spans="1:5" x14ac:dyDescent="0.25">
      <c r="A8" s="2" t="s">
        <v>5</v>
      </c>
      <c r="B8" s="7">
        <v>0</v>
      </c>
      <c r="C8" s="7">
        <v>709.29</v>
      </c>
      <c r="D8" s="7">
        <v>709.29</v>
      </c>
      <c r="E8" s="7">
        <v>702.52</v>
      </c>
    </row>
    <row r="9" spans="1:5" x14ac:dyDescent="0.25">
      <c r="A9" s="2" t="s">
        <v>6</v>
      </c>
      <c r="B9" s="7">
        <v>14253.26</v>
      </c>
      <c r="C9" s="7">
        <v>14253.26</v>
      </c>
      <c r="D9" s="7">
        <v>14253.26</v>
      </c>
      <c r="E9" s="7">
        <v>13744.21</v>
      </c>
    </row>
    <row r="10" spans="1:5" x14ac:dyDescent="0.25">
      <c r="A10" s="2" t="s">
        <v>7</v>
      </c>
      <c r="B10" s="7">
        <f>17610.2+598-1051.36</f>
        <v>17156.84</v>
      </c>
      <c r="C10" s="7">
        <f>18208.2-1051.36</f>
        <v>17156.84</v>
      </c>
      <c r="D10" s="7">
        <f>18208.2-1051.36</f>
        <v>17156.84</v>
      </c>
      <c r="E10" s="7">
        <f>17398.26-1051.36</f>
        <v>16346.899999999998</v>
      </c>
    </row>
    <row r="11" spans="1:5" x14ac:dyDescent="0.25">
      <c r="A11" s="2" t="s">
        <v>49</v>
      </c>
      <c r="B11" s="7">
        <v>0</v>
      </c>
      <c r="C11" s="7">
        <f>1185.4+118.54+118.54+118.54</f>
        <v>1541.02</v>
      </c>
      <c r="D11" s="7">
        <v>0</v>
      </c>
      <c r="E11" s="7">
        <v>0</v>
      </c>
    </row>
    <row r="12" spans="1:5" x14ac:dyDescent="0.25">
      <c r="A12" s="2" t="s">
        <v>8</v>
      </c>
      <c r="B12" s="7">
        <v>1857.12</v>
      </c>
      <c r="C12" s="7">
        <v>0</v>
      </c>
      <c r="D12" s="7">
        <v>0</v>
      </c>
      <c r="E12" s="7">
        <v>0</v>
      </c>
    </row>
    <row r="13" spans="1:5" x14ac:dyDescent="0.25">
      <c r="A13" s="12" t="s">
        <v>9</v>
      </c>
      <c r="B13" s="1">
        <f t="shared" ref="B13:E13" si="0">SUM(B3:B12)</f>
        <v>269619.24</v>
      </c>
      <c r="C13" s="1">
        <f t="shared" si="0"/>
        <v>232113.76</v>
      </c>
      <c r="D13" s="1">
        <f t="shared" si="0"/>
        <v>254563.81</v>
      </c>
      <c r="E13" s="1">
        <f t="shared" si="0"/>
        <v>229782.03999999998</v>
      </c>
    </row>
    <row r="14" spans="1:5" x14ac:dyDescent="0.25">
      <c r="A14" s="17" t="s">
        <v>10</v>
      </c>
      <c r="B14" s="8"/>
      <c r="C14" s="8"/>
      <c r="D14" s="8"/>
      <c r="E14" s="8"/>
    </row>
    <row r="15" spans="1:5" x14ac:dyDescent="0.25">
      <c r="A15" s="3" t="s">
        <v>37</v>
      </c>
      <c r="B15" s="7">
        <v>55.9</v>
      </c>
      <c r="C15" s="7">
        <v>55.9</v>
      </c>
      <c r="D15" s="7">
        <v>55.9</v>
      </c>
      <c r="E15" s="7">
        <v>55.9</v>
      </c>
    </row>
    <row r="16" spans="1:5" x14ac:dyDescent="0.25">
      <c r="A16" s="2" t="s">
        <v>12</v>
      </c>
      <c r="B16" s="7">
        <f>16459.06+1495.33</f>
        <v>17954.39</v>
      </c>
      <c r="C16" s="7">
        <f>18905.8</f>
        <v>18905.8</v>
      </c>
      <c r="D16" s="7">
        <v>23106.080000000002</v>
      </c>
      <c r="E16" s="7">
        <f>16075.64+1055+1495.33+1215.01</f>
        <v>19840.98</v>
      </c>
    </row>
    <row r="17" spans="1:5" x14ac:dyDescent="0.25">
      <c r="A17" s="3" t="s">
        <v>14</v>
      </c>
      <c r="B17" s="7">
        <v>0</v>
      </c>
      <c r="C17" s="7">
        <v>0</v>
      </c>
      <c r="D17" s="7">
        <v>3270.67</v>
      </c>
      <c r="E17" s="7">
        <v>0</v>
      </c>
    </row>
    <row r="18" spans="1:5" x14ac:dyDescent="0.25">
      <c r="A18" s="3" t="s">
        <v>38</v>
      </c>
      <c r="B18" s="7">
        <f>500+1532.94</f>
        <v>2032.94</v>
      </c>
      <c r="C18" s="7">
        <f>500+1494.51</f>
        <v>1994.51</v>
      </c>
      <c r="D18" s="7">
        <f>500+1276.5+500</f>
        <v>2276.5</v>
      </c>
      <c r="E18" s="7">
        <f>2000+2351.58</f>
        <v>4351.58</v>
      </c>
    </row>
    <row r="19" spans="1:5" x14ac:dyDescent="0.25">
      <c r="A19" s="3" t="s">
        <v>19</v>
      </c>
      <c r="B19" s="7">
        <f>459.38+387.14</f>
        <v>846.52</v>
      </c>
      <c r="C19" s="7">
        <v>1678.67</v>
      </c>
      <c r="D19" s="7">
        <v>753.37</v>
      </c>
      <c r="E19" s="7">
        <v>2393.31</v>
      </c>
    </row>
    <row r="20" spans="1:5" x14ac:dyDescent="0.25">
      <c r="A20" s="3" t="s">
        <v>39</v>
      </c>
      <c r="B20" s="7">
        <f>2820.82+1187.46</f>
        <v>4008.28</v>
      </c>
      <c r="C20" s="7">
        <f>2820.82+1187.46</f>
        <v>4008.28</v>
      </c>
      <c r="D20" s="7">
        <f>2820.82+1187.46</f>
        <v>4008.28</v>
      </c>
      <c r="E20" s="7">
        <f>2820.82+284.56+1187.46</f>
        <v>4292.84</v>
      </c>
    </row>
    <row r="21" spans="1:5" x14ac:dyDescent="0.25">
      <c r="A21" s="2" t="s">
        <v>11</v>
      </c>
      <c r="B21" s="7">
        <f>630.29+8617</f>
        <v>9247.2900000000009</v>
      </c>
      <c r="C21" s="7">
        <f>10512.29+2116</f>
        <v>12628.29</v>
      </c>
      <c r="D21" s="7">
        <v>8792.49</v>
      </c>
      <c r="E21" s="7">
        <f>7265.79+630.29</f>
        <v>7896.08</v>
      </c>
    </row>
    <row r="22" spans="1:5" x14ac:dyDescent="0.25">
      <c r="A22" s="3" t="s">
        <v>15</v>
      </c>
      <c r="B22" s="1">
        <v>3314.77</v>
      </c>
      <c r="C22" s="1">
        <v>2729.16</v>
      </c>
      <c r="D22" s="5">
        <v>2044.88</v>
      </c>
      <c r="E22" s="5">
        <v>2269.0700000000002</v>
      </c>
    </row>
    <row r="23" spans="1:5" x14ac:dyDescent="0.25">
      <c r="A23" s="3" t="s">
        <v>21</v>
      </c>
      <c r="B23" s="7">
        <v>0</v>
      </c>
      <c r="C23" s="7">
        <v>0</v>
      </c>
      <c r="D23" s="7">
        <v>1420</v>
      </c>
      <c r="E23" s="7">
        <v>1430</v>
      </c>
    </row>
    <row r="24" spans="1:5" x14ac:dyDescent="0.25">
      <c r="A24" s="3" t="s">
        <v>40</v>
      </c>
      <c r="B24" s="7">
        <v>2392.3000000000002</v>
      </c>
      <c r="C24" s="7">
        <f>800+1800</f>
        <v>2600</v>
      </c>
      <c r="D24" s="7">
        <v>0</v>
      </c>
      <c r="E24" s="7">
        <v>130</v>
      </c>
    </row>
    <row r="25" spans="1:5" x14ac:dyDescent="0.25">
      <c r="A25" s="3" t="s">
        <v>41</v>
      </c>
      <c r="B25" s="7">
        <f>39.9+35.9+4700+164.98+370+120</f>
        <v>5430.78</v>
      </c>
      <c r="C25" s="7">
        <v>692</v>
      </c>
      <c r="D25" s="7">
        <v>1100</v>
      </c>
      <c r="E25" s="7">
        <v>460</v>
      </c>
    </row>
    <row r="26" spans="1:5" x14ac:dyDescent="0.25">
      <c r="A26" s="3" t="s">
        <v>17</v>
      </c>
      <c r="B26" s="7">
        <f>551.8+7412.95</f>
        <v>7964.75</v>
      </c>
      <c r="C26" s="7">
        <v>0</v>
      </c>
      <c r="D26" s="7">
        <v>516</v>
      </c>
      <c r="E26" s="7">
        <v>202.43</v>
      </c>
    </row>
    <row r="27" spans="1:5" x14ac:dyDescent="0.25">
      <c r="A27" s="3" t="s">
        <v>16</v>
      </c>
      <c r="B27" s="7">
        <v>316.10000000000002</v>
      </c>
      <c r="C27" s="7">
        <v>613.29999999999995</v>
      </c>
      <c r="D27" s="7">
        <v>364.6</v>
      </c>
      <c r="E27" s="7">
        <v>370.53</v>
      </c>
    </row>
    <row r="28" spans="1:5" x14ac:dyDescent="0.25">
      <c r="A28" s="2" t="s">
        <v>42</v>
      </c>
      <c r="B28" s="7">
        <f>1823.77+434+1500+496+54.21+189+129</f>
        <v>4625.9800000000005</v>
      </c>
      <c r="C28" s="7">
        <f>36.24+112.17+434+25.5+22.2</f>
        <v>630.11</v>
      </c>
      <c r="D28" s="7">
        <f>2239.22+434+1535.77</f>
        <v>4208.99</v>
      </c>
      <c r="E28" s="7">
        <f>69+11.04+965+4606.97+780+434+618</f>
        <v>7484.01</v>
      </c>
    </row>
    <row r="29" spans="1:5" x14ac:dyDescent="0.25">
      <c r="A29" s="3" t="s">
        <v>43</v>
      </c>
      <c r="B29" s="7">
        <v>1838.25</v>
      </c>
      <c r="C29" s="7">
        <v>612.75</v>
      </c>
      <c r="D29" s="7">
        <f>574.8+1102.95</f>
        <v>1677.75</v>
      </c>
      <c r="E29" s="7">
        <v>490.2</v>
      </c>
    </row>
    <row r="30" spans="1:5" x14ac:dyDescent="0.25">
      <c r="A30" s="3" t="s">
        <v>18</v>
      </c>
      <c r="B30" s="7">
        <v>806.9</v>
      </c>
      <c r="C30" s="7">
        <f>2650.4+3264</f>
        <v>5914.4</v>
      </c>
      <c r="D30" s="7">
        <f>75.16+40280</f>
        <v>40355.160000000003</v>
      </c>
      <c r="E30" s="7">
        <v>0</v>
      </c>
    </row>
    <row r="31" spans="1:5" x14ac:dyDescent="0.25">
      <c r="A31" s="2" t="s">
        <v>13</v>
      </c>
      <c r="B31" s="7">
        <v>4975.7299999999996</v>
      </c>
      <c r="C31" s="7">
        <v>4911.5</v>
      </c>
      <c r="D31" s="7">
        <v>5021.5</v>
      </c>
      <c r="E31" s="7">
        <v>4975.7299999999996</v>
      </c>
    </row>
    <row r="32" spans="1:5" x14ac:dyDescent="0.25">
      <c r="A32" s="2" t="s">
        <v>44</v>
      </c>
      <c r="B32" s="7">
        <f>1470.31</f>
        <v>1470.31</v>
      </c>
      <c r="C32" s="7">
        <f>1541.8</f>
        <v>1541.8</v>
      </c>
      <c r="D32" s="7">
        <v>1541.8</v>
      </c>
      <c r="E32" s="7">
        <f>1541.8+350</f>
        <v>1891.8</v>
      </c>
    </row>
    <row r="33" spans="1:5" x14ac:dyDescent="0.25">
      <c r="A33" s="3" t="s">
        <v>45</v>
      </c>
      <c r="B33" s="7">
        <f>1752.2+142+210+210+92.8+4525.25+4525.25+3528+3528</f>
        <v>18513.5</v>
      </c>
      <c r="C33" s="7">
        <f>1559.04+238.17+238.17+92.8+210+210+3528</f>
        <v>6076.18</v>
      </c>
      <c r="D33" s="7">
        <f>1559.04+4525.25+92.8+210+210+3528</f>
        <v>10125.09</v>
      </c>
      <c r="E33" s="7">
        <f>1559.04+4525.25+92.8+210+210+238.17+238.17+3528</f>
        <v>10601.43</v>
      </c>
    </row>
    <row r="34" spans="1:5" x14ac:dyDescent="0.25">
      <c r="A34" s="3" t="s">
        <v>46</v>
      </c>
      <c r="B34" s="7">
        <v>11050.15</v>
      </c>
      <c r="C34" s="7">
        <v>0</v>
      </c>
      <c r="D34" s="7">
        <v>0</v>
      </c>
      <c r="E34" s="7">
        <v>0</v>
      </c>
    </row>
    <row r="35" spans="1:5" x14ac:dyDescent="0.25">
      <c r="A35" s="3" t="s">
        <v>20</v>
      </c>
      <c r="B35" s="5">
        <f>9043.4+983.95</f>
        <v>10027.35</v>
      </c>
      <c r="C35" s="5">
        <v>8023.66</v>
      </c>
      <c r="D35" s="5">
        <v>3404.09</v>
      </c>
      <c r="E35" s="5">
        <v>6223.67</v>
      </c>
    </row>
    <row r="36" spans="1:5" x14ac:dyDescent="0.25">
      <c r="A36" s="4" t="s">
        <v>47</v>
      </c>
      <c r="B36" s="7">
        <f>2553.25+969.62+12.77+1139.83+5632.73-5481.63</f>
        <v>4826.5699999999988</v>
      </c>
      <c r="C36" s="7">
        <f>2754.9+1573.17+24.5+2708.48</f>
        <v>7061.0499999999993</v>
      </c>
      <c r="D36" s="7">
        <f>2621.9+358.93+126.44</f>
        <v>3107.27</v>
      </c>
      <c r="E36" s="7">
        <f>3185.4+101.81+340.2+135+5780.42</f>
        <v>9542.83</v>
      </c>
    </row>
    <row r="37" spans="1:5" x14ac:dyDescent="0.25">
      <c r="A37" s="12" t="s">
        <v>22</v>
      </c>
      <c r="B37" s="14">
        <f>SUM(B15:B36)</f>
        <v>111698.76</v>
      </c>
      <c r="C37" s="14">
        <f>SUM(C15:C36)</f>
        <v>80677.360000000015</v>
      </c>
      <c r="D37" s="14">
        <f>SUM(D15:D36)</f>
        <v>117150.42</v>
      </c>
      <c r="E37" s="14">
        <f>SUM(E15:E36)</f>
        <v>84902.390000000014</v>
      </c>
    </row>
    <row r="38" spans="1:5" x14ac:dyDescent="0.25">
      <c r="A38" s="17" t="s">
        <v>23</v>
      </c>
      <c r="B38" s="8"/>
      <c r="C38" s="8"/>
      <c r="D38" s="8"/>
      <c r="E38" s="8"/>
    </row>
    <row r="39" spans="1:5" x14ac:dyDescent="0.25">
      <c r="A39" s="6" t="s">
        <v>24</v>
      </c>
      <c r="B39" s="7">
        <v>12126.12</v>
      </c>
      <c r="C39" s="7">
        <v>4988.99</v>
      </c>
      <c r="D39" s="7">
        <v>5716.16</v>
      </c>
      <c r="E39" s="7">
        <v>9167.3799999999992</v>
      </c>
    </row>
    <row r="40" spans="1:5" x14ac:dyDescent="0.25">
      <c r="A40" s="6" t="s">
        <v>48</v>
      </c>
      <c r="B40" s="7">
        <f>5248.1-2389.46</f>
        <v>2858.6400000000003</v>
      </c>
      <c r="C40" s="7">
        <f>12526.7-882.43</f>
        <v>11644.27</v>
      </c>
      <c r="D40" s="7">
        <f>11644.64-701.67</f>
        <v>10942.97</v>
      </c>
      <c r="E40" s="7">
        <f>7283.42-1069.83</f>
        <v>6213.59</v>
      </c>
    </row>
    <row r="41" spans="1:5" x14ac:dyDescent="0.25">
      <c r="A41" s="6" t="s">
        <v>25</v>
      </c>
      <c r="B41" s="7">
        <v>0</v>
      </c>
      <c r="C41" s="7">
        <v>0</v>
      </c>
      <c r="D41" s="7"/>
      <c r="E41" s="7"/>
    </row>
    <row r="42" spans="1:5" x14ac:dyDescent="0.25">
      <c r="A42" s="12" t="s">
        <v>26</v>
      </c>
      <c r="B42" s="1">
        <f t="shared" ref="B42:E42" si="1">SUM(B39:B41)</f>
        <v>14984.760000000002</v>
      </c>
      <c r="C42" s="1">
        <f t="shared" si="1"/>
        <v>16633.260000000002</v>
      </c>
      <c r="D42" s="1">
        <f t="shared" si="1"/>
        <v>16659.129999999997</v>
      </c>
      <c r="E42" s="1">
        <f t="shared" si="1"/>
        <v>15380.97</v>
      </c>
    </row>
    <row r="43" spans="1:5" x14ac:dyDescent="0.25">
      <c r="A43" s="17" t="s">
        <v>27</v>
      </c>
      <c r="B43" s="8"/>
      <c r="C43" s="8"/>
      <c r="D43" s="8"/>
      <c r="E43" s="8"/>
    </row>
    <row r="44" spans="1:5" x14ac:dyDescent="0.25">
      <c r="A44" s="6" t="s">
        <v>28</v>
      </c>
      <c r="B44" s="7">
        <v>891</v>
      </c>
      <c r="C44" s="7">
        <v>0</v>
      </c>
      <c r="D44" s="7">
        <v>0</v>
      </c>
      <c r="E44" s="7">
        <v>1721.5</v>
      </c>
    </row>
    <row r="45" spans="1:5" x14ac:dyDescent="0.25">
      <c r="A45" s="6" t="s">
        <v>29</v>
      </c>
      <c r="B45" s="7">
        <v>0</v>
      </c>
      <c r="C45" s="7">
        <f>537.6+75.73+1682.6+2831</f>
        <v>5126.93</v>
      </c>
      <c r="D45" s="7">
        <f>954.06+149.96</f>
        <v>1104.02</v>
      </c>
      <c r="E45" s="7">
        <v>151.02000000000001</v>
      </c>
    </row>
    <row r="46" spans="1:5" x14ac:dyDescent="0.25">
      <c r="A46" s="12" t="s">
        <v>30</v>
      </c>
      <c r="B46" s="1">
        <f t="shared" ref="B46:E46" si="2">SUM(B44:B45)</f>
        <v>891</v>
      </c>
      <c r="C46" s="1">
        <f t="shared" si="2"/>
        <v>5126.93</v>
      </c>
      <c r="D46" s="1">
        <f t="shared" si="2"/>
        <v>1104.02</v>
      </c>
      <c r="E46" s="1">
        <f t="shared" si="2"/>
        <v>1872.52</v>
      </c>
    </row>
    <row r="47" spans="1:5" x14ac:dyDescent="0.25">
      <c r="A47" s="17" t="s">
        <v>31</v>
      </c>
      <c r="B47" s="8"/>
      <c r="C47" s="8"/>
      <c r="D47" s="8"/>
      <c r="E47" s="8"/>
    </row>
    <row r="48" spans="1:5" x14ac:dyDescent="0.25">
      <c r="A48" s="8" t="s">
        <v>32</v>
      </c>
      <c r="B48" s="7">
        <v>0</v>
      </c>
      <c r="C48" s="7">
        <v>100000</v>
      </c>
      <c r="D48" s="7"/>
      <c r="E48" s="7"/>
    </row>
    <row r="49" spans="1:5" x14ac:dyDescent="0.25">
      <c r="A49" s="12" t="s">
        <v>33</v>
      </c>
      <c r="B49" s="1"/>
      <c r="C49" s="1"/>
      <c r="D49" s="1"/>
      <c r="E49" s="1"/>
    </row>
    <row r="50" spans="1:5" x14ac:dyDescent="0.25">
      <c r="A50" s="15" t="s">
        <v>54</v>
      </c>
      <c r="B50" s="19">
        <f>B13+B37+B42+B46+B49</f>
        <v>397193.76</v>
      </c>
      <c r="C50" s="19">
        <f>C13+C37+C42+C46+C49</f>
        <v>334551.31</v>
      </c>
      <c r="D50" s="19">
        <f>D13+D37+D42+D46+D49</f>
        <v>389477.38</v>
      </c>
      <c r="E50" s="19">
        <f>E13+E37+E42+E46+E49</f>
        <v>331937.91999999998</v>
      </c>
    </row>
    <row r="51" spans="1:5" x14ac:dyDescent="0.25">
      <c r="A51" s="23"/>
      <c r="B51" s="22"/>
      <c r="C51" s="22"/>
      <c r="D51" s="22"/>
      <c r="E51" s="22"/>
    </row>
    <row r="52" spans="1:5" ht="15.75" x14ac:dyDescent="0.25">
      <c r="A52" s="18" t="s">
        <v>56</v>
      </c>
      <c r="B52" s="20" t="s">
        <v>50</v>
      </c>
      <c r="C52" s="21" t="s">
        <v>51</v>
      </c>
      <c r="D52" s="21" t="s">
        <v>52</v>
      </c>
      <c r="E52" s="21" t="s">
        <v>53</v>
      </c>
    </row>
    <row r="53" spans="1:5" x14ac:dyDescent="0.25">
      <c r="A53" s="10" t="s">
        <v>34</v>
      </c>
      <c r="B53" s="7">
        <f>208065.77+44351</f>
        <v>252416.77</v>
      </c>
      <c r="C53" s="7">
        <f>202714+68723</f>
        <v>271437</v>
      </c>
      <c r="D53" s="7">
        <f>210322.05+95006</f>
        <v>305328.05</v>
      </c>
      <c r="E53" s="7">
        <f>227454.92+54354</f>
        <v>281808.92000000004</v>
      </c>
    </row>
    <row r="54" spans="1:5" x14ac:dyDescent="0.25">
      <c r="A54" s="10" t="s">
        <v>35</v>
      </c>
      <c r="B54" s="7">
        <f>2829.24+32361.63</f>
        <v>35190.870000000003</v>
      </c>
      <c r="C54" s="7">
        <f>4839.68+15488.6</f>
        <v>20328.28</v>
      </c>
      <c r="D54" s="7">
        <f>3455.61+47.91</f>
        <v>3503.52</v>
      </c>
      <c r="E54" s="7">
        <f>34345.98</f>
        <v>34345.980000000003</v>
      </c>
    </row>
    <row r="55" spans="1:5" x14ac:dyDescent="0.25">
      <c r="B55" s="9"/>
      <c r="C55" s="9"/>
      <c r="D55" s="9"/>
      <c r="E55" s="9"/>
    </row>
    <row r="57" spans="1:5" x14ac:dyDescent="0.25">
      <c r="C57" s="9"/>
    </row>
  </sheetData>
  <pageMargins left="0.511811024" right="0.511811024" top="0.78740157499999996" bottom="0.78740157499999996" header="0.31496062000000002" footer="0.3149606200000000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2º QUADRIMESTRE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Nonato - Consórcio PCJ</dc:creator>
  <cp:lastModifiedBy>Silmara Nonato - Consórcio PCJ</cp:lastModifiedBy>
  <cp:lastPrinted>2025-11-11T15:42:40Z</cp:lastPrinted>
  <dcterms:created xsi:type="dcterms:W3CDTF">2025-01-14T19:34:35Z</dcterms:created>
  <dcterms:modified xsi:type="dcterms:W3CDTF">2025-11-11T15:53:52Z</dcterms:modified>
</cp:coreProperties>
</file>