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Publica\FINANCEIRO\"/>
    </mc:Choice>
  </mc:AlternateContent>
  <xr:revisionPtr revIDLastSave="0" documentId="13_ncr:1_{2D6FB9E3-3C88-4187-B06B-242BF2DAE4F4}" xr6:coauthVersionLast="47" xr6:coauthVersionMax="47" xr10:uidLastSave="{00000000-0000-0000-0000-000000000000}"/>
  <bookViews>
    <workbookView xWindow="270" yWindow="0" windowWidth="21300" windowHeight="15585" xr2:uid="{9078F85B-FA54-4775-ABAA-29A367440E45}"/>
  </bookViews>
  <sheets>
    <sheet name="3º QUADRIMESTRE" sheetId="1" r:id="rId1"/>
  </sheets>
  <definedNames>
    <definedName name="_xlnm.Print_Titles" localSheetId="0">'3º QUADRIMESTRE'!$1:$6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D65" i="1"/>
  <c r="C65" i="1"/>
  <c r="B65" i="1"/>
  <c r="E61" i="1"/>
  <c r="D61" i="1"/>
  <c r="C61" i="1"/>
  <c r="B61" i="1"/>
  <c r="E57" i="1"/>
  <c r="D57" i="1"/>
  <c r="C57" i="1"/>
  <c r="B55" i="1"/>
  <c r="B57" i="1" s="1"/>
  <c r="C50" i="1"/>
  <c r="E49" i="1"/>
  <c r="D49" i="1"/>
  <c r="C49" i="1"/>
  <c r="B49" i="1"/>
  <c r="E48" i="1"/>
  <c r="D48" i="1"/>
  <c r="C48" i="1"/>
  <c r="B48" i="1"/>
  <c r="B51" i="1" s="1"/>
  <c r="E44" i="1"/>
  <c r="D44" i="1"/>
  <c r="C44" i="1"/>
  <c r="B44" i="1"/>
  <c r="D43" i="1"/>
  <c r="E42" i="1"/>
  <c r="D42" i="1"/>
  <c r="C42" i="1"/>
  <c r="B42" i="1"/>
  <c r="E41" i="1"/>
  <c r="B39" i="1"/>
  <c r="E38" i="1"/>
  <c r="D38" i="1"/>
  <c r="C38" i="1"/>
  <c r="B38" i="1"/>
  <c r="E37" i="1"/>
  <c r="D37" i="1"/>
  <c r="C37" i="1"/>
  <c r="B37" i="1"/>
  <c r="C36" i="1"/>
  <c r="B36" i="1"/>
  <c r="E34" i="1"/>
  <c r="D34" i="1"/>
  <c r="C34" i="1"/>
  <c r="B34" i="1"/>
  <c r="D33" i="1"/>
  <c r="C33" i="1"/>
  <c r="B33" i="1"/>
  <c r="D32" i="1"/>
  <c r="B32" i="1"/>
  <c r="E31" i="1"/>
  <c r="D31" i="1"/>
  <c r="C31" i="1"/>
  <c r="B31" i="1"/>
  <c r="D30" i="1"/>
  <c r="E26" i="1"/>
  <c r="D26" i="1"/>
  <c r="C26" i="1"/>
  <c r="B26" i="1"/>
  <c r="C25" i="1"/>
  <c r="B25" i="1"/>
  <c r="B24" i="1"/>
  <c r="E23" i="1"/>
  <c r="B23" i="1"/>
  <c r="D22" i="1"/>
  <c r="C22" i="1"/>
  <c r="E18" i="1"/>
  <c r="E20" i="1" s="1"/>
  <c r="D18" i="1"/>
  <c r="D20" i="1" s="1"/>
  <c r="C18" i="1"/>
  <c r="C20" i="1" s="1"/>
  <c r="B18" i="1"/>
  <c r="B20" i="1" s="1"/>
  <c r="E45" i="1" l="1"/>
  <c r="D45" i="1"/>
  <c r="B45" i="1"/>
  <c r="B62" i="1" s="1"/>
  <c r="E51" i="1"/>
  <c r="C45" i="1"/>
  <c r="D51" i="1"/>
  <c r="C51" i="1"/>
  <c r="D62" i="1" l="1"/>
  <c r="E62" i="1"/>
  <c r="C62" i="1"/>
</calcChain>
</file>

<file path=xl/sharedStrings.xml><?xml version="1.0" encoding="utf-8"?>
<sst xmlns="http://schemas.openxmlformats.org/spreadsheetml/2006/main" count="63" uniqueCount="63">
  <si>
    <t xml:space="preserve">DESPESAS E RECEITAS </t>
  </si>
  <si>
    <t>DESPESAS 3º QUADRIMESTRE DE 2024</t>
  </si>
  <si>
    <t>1 - DESPESAS COM PESSOAL</t>
  </si>
  <si>
    <t>Setembro</t>
  </si>
  <si>
    <t>Outubro</t>
  </si>
  <si>
    <t>Novembro</t>
  </si>
  <si>
    <t>Dezembro</t>
  </si>
  <si>
    <t>Salários</t>
  </si>
  <si>
    <t>Férias</t>
  </si>
  <si>
    <t>13º Salário</t>
  </si>
  <si>
    <r>
      <rPr>
        <b/>
        <sz val="10"/>
        <rFont val="Calibri"/>
        <family val="2"/>
      </rPr>
      <t>INSS + IR</t>
    </r>
    <r>
      <rPr>
        <sz val="10"/>
        <rFont val="Calibri"/>
        <family val="2"/>
      </rPr>
      <t xml:space="preserve"> (partir de maio/23) + </t>
    </r>
    <r>
      <rPr>
        <b/>
        <sz val="10"/>
        <rFont val="Calibri"/>
        <family val="2"/>
      </rPr>
      <t>PIS</t>
    </r>
    <r>
      <rPr>
        <sz val="10"/>
        <rFont val="Calibri"/>
        <family val="2"/>
      </rPr>
      <t xml:space="preserve"> (partir fev/24)</t>
    </r>
  </si>
  <si>
    <t>FGTS</t>
  </si>
  <si>
    <t>PIS</t>
  </si>
  <si>
    <t>Contribuição e Mensalidade Sindical</t>
  </si>
  <si>
    <t>Cesta Básica</t>
  </si>
  <si>
    <t>Assistência Médica/Plano Odont.</t>
  </si>
  <si>
    <t>Seguro de Vida</t>
  </si>
  <si>
    <t>Total de Despesas com Pessoal</t>
  </si>
  <si>
    <t>2 - DESPESAS ADMINISTRATIVAS</t>
  </si>
  <si>
    <t>Estagiários + Nube</t>
  </si>
  <si>
    <t>Aluguel + Cond. + IPTU + Seguro</t>
  </si>
  <si>
    <t>Serviços Contábeis</t>
  </si>
  <si>
    <t>Serviços Jurídicos Especiais + Auditória Externa</t>
  </si>
  <si>
    <t xml:space="preserve">Prestação Serv. Diversos -  Unicco </t>
  </si>
  <si>
    <t>Prestação Serv.  Moto boy /Serv. Externo</t>
  </si>
  <si>
    <t>Cursos + Seminários</t>
  </si>
  <si>
    <t>Energia Elétrica</t>
  </si>
  <si>
    <t>Material de Copa e Limpeza</t>
  </si>
  <si>
    <t>Serviços de Limpeza + Jardim</t>
  </si>
  <si>
    <t>Manutenção Hidráulica + Elétr  geral</t>
  </si>
  <si>
    <t>Material de Escritório + Consumo+TI</t>
  </si>
  <si>
    <t>Despesas com TI / Triade</t>
  </si>
  <si>
    <t>Filiação em Entidades/Assinatura Jornal</t>
  </si>
  <si>
    <t>Publicação Legal/Jornal</t>
  </si>
  <si>
    <t>Reuniões +  Eventos</t>
  </si>
  <si>
    <t>Caixa Administrativo/desp diversas/cartão</t>
  </si>
  <si>
    <t>Combustível</t>
  </si>
  <si>
    <t>IPVA + Documentação + Seguro</t>
  </si>
  <si>
    <t>Manutenção + Locação Veic.</t>
  </si>
  <si>
    <t>Telefone + Correio + Internet</t>
  </si>
  <si>
    <t>Faixas + Banners + Cartazes Mat. Graficos</t>
  </si>
  <si>
    <t>Taxas+IOF+IR (Aplic. Finan.)/ Desp. Banco.Cofins, ICMS</t>
  </si>
  <si>
    <t>Total de Despesas Administrativas</t>
  </si>
  <si>
    <t>3 - DESPESAS COM VIAGENS</t>
  </si>
  <si>
    <t>Passagem Aérea + Estadia</t>
  </si>
  <si>
    <t>Refeições + Táxi + Outras</t>
  </si>
  <si>
    <t>Viagem Internacional</t>
  </si>
  <si>
    <t>Total de Despesas com Viagens</t>
  </si>
  <si>
    <t>4 - BENS E EQUIPAMENTOS</t>
  </si>
  <si>
    <t>Imobilizado</t>
  </si>
  <si>
    <t>Bens de Valores Irrelevantes</t>
  </si>
  <si>
    <t>Total de Bens e Equipamentos</t>
  </si>
  <si>
    <t>5 - DESPESAS ESPECÍFICAS DOS PROGRAMAS</t>
  </si>
  <si>
    <t>Despesas com Projetos (Consultorias, etc.) Previsão</t>
  </si>
  <si>
    <t>Total de Despesas Específicas dos Programas</t>
  </si>
  <si>
    <t xml:space="preserve">Total Geral </t>
  </si>
  <si>
    <t>RECEITAS 3º QUADRIMESTRE 2024</t>
  </si>
  <si>
    <t>SETEMBRO</t>
  </si>
  <si>
    <t>OUTUBRO</t>
  </si>
  <si>
    <t>NOVEMBRO</t>
  </si>
  <si>
    <t>DEZEMBRO</t>
  </si>
  <si>
    <t>Receitas de Custeio</t>
  </si>
  <si>
    <t xml:space="preserve">Outras Receitas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</si>
</sst>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4" fontId="8" fillId="0" borderId="4" xfId="0" applyNumberFormat="1" applyFont="1" applyBorder="1"/>
    <xf numFmtId="43" fontId="8" fillId="0" borderId="4" xfId="1" applyFont="1" applyBorder="1"/>
    <xf numFmtId="2" fontId="8" fillId="0" borderId="4" xfId="1" applyNumberFormat="1" applyFont="1" applyBorder="1"/>
    <xf numFmtId="0" fontId="5" fillId="3" borderId="4" xfId="0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3" fontId="5" fillId="0" borderId="4" xfId="1" applyFont="1" applyBorder="1" applyAlignment="1">
      <alignment horizontal="right" vertical="center"/>
    </xf>
    <xf numFmtId="0" fontId="7" fillId="3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right" vertical="center"/>
    </xf>
    <xf numFmtId="43" fontId="7" fillId="0" borderId="4" xfId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5" fillId="0" borderId="4" xfId="1" applyNumberFormat="1" applyFont="1" applyBorder="1" applyAlignment="1">
      <alignment horizontal="right" vertical="center"/>
    </xf>
    <xf numFmtId="0" fontId="6" fillId="0" borderId="1" xfId="0" applyFont="1" applyBorder="1"/>
    <xf numFmtId="4" fontId="6" fillId="0" borderId="4" xfId="0" applyNumberFormat="1" applyFont="1" applyBorder="1"/>
    <xf numFmtId="43" fontId="6" fillId="0" borderId="4" xfId="1" applyFont="1" applyBorder="1"/>
    <xf numFmtId="0" fontId="8" fillId="0" borderId="0" xfId="0" applyFont="1"/>
    <xf numFmtId="4" fontId="8" fillId="0" borderId="0" xfId="0" applyNumberFormat="1" applyFont="1"/>
    <xf numFmtId="43" fontId="8" fillId="0" borderId="0" xfId="1" applyFont="1"/>
    <xf numFmtId="0" fontId="6" fillId="0" borderId="0" xfId="0" applyFont="1" applyAlignment="1">
      <alignment horizontal="left"/>
    </xf>
    <xf numFmtId="4" fontId="6" fillId="0" borderId="4" xfId="0" applyNumberFormat="1" applyFont="1" applyBorder="1" applyAlignment="1">
      <alignment horizontal="center"/>
    </xf>
    <xf numFmtId="0" fontId="8" fillId="0" borderId="4" xfId="0" applyFont="1" applyBorder="1"/>
    <xf numFmtId="4" fontId="8" fillId="0" borderId="4" xfId="0" applyNumberFormat="1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4" fontId="3" fillId="0" borderId="0" xfId="0" applyNumberFormat="1" applyFont="1"/>
    <xf numFmtId="0" fontId="9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24653</xdr:colOff>
      <xdr:row>5</xdr:row>
      <xdr:rowOff>18502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640069-36C2-442C-9E44-F16DFEC1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4853" cy="875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0A4D-5C13-4801-82E1-5CBC9F1D4654}">
  <sheetPr>
    <pageSetUpPr fitToPage="1"/>
  </sheetPr>
  <dimension ref="A6:E71"/>
  <sheetViews>
    <sheetView showGridLines="0" tabSelected="1" workbookViewId="0">
      <selection activeCell="J11" sqref="J11"/>
    </sheetView>
  </sheetViews>
  <sheetFormatPr defaultRowHeight="13.5" x14ac:dyDescent="0.25"/>
  <cols>
    <col min="1" max="1" width="38.28515625" style="4" customWidth="1"/>
    <col min="2" max="5" width="10.7109375" style="4" customWidth="1"/>
    <col min="6" max="16384" width="9.140625" style="4"/>
  </cols>
  <sheetData>
    <row r="6" spans="1:5" ht="4.5" customHeight="1" x14ac:dyDescent="0.25"/>
    <row r="7" spans="1:5" ht="15.75" x14ac:dyDescent="0.25">
      <c r="A7" s="1" t="s">
        <v>0</v>
      </c>
      <c r="B7" s="2"/>
      <c r="C7" s="2"/>
      <c r="D7" s="2"/>
      <c r="E7" s="3"/>
    </row>
    <row r="8" spans="1:5" ht="15" x14ac:dyDescent="0.25">
      <c r="A8" s="5" t="s">
        <v>1</v>
      </c>
      <c r="B8" s="6"/>
      <c r="C8" s="6"/>
      <c r="D8" s="6"/>
      <c r="E8" s="7"/>
    </row>
    <row r="9" spans="1:5" x14ac:dyDescent="0.25">
      <c r="A9" s="8" t="s">
        <v>2</v>
      </c>
      <c r="B9" s="9" t="s">
        <v>3</v>
      </c>
      <c r="C9" s="9" t="s">
        <v>4</v>
      </c>
      <c r="D9" s="9" t="s">
        <v>5</v>
      </c>
      <c r="E9" s="9" t="s">
        <v>6</v>
      </c>
    </row>
    <row r="10" spans="1:5" x14ac:dyDescent="0.25">
      <c r="A10" s="10" t="s">
        <v>7</v>
      </c>
      <c r="B10" s="11">
        <v>73406</v>
      </c>
      <c r="C10" s="11">
        <v>91838</v>
      </c>
      <c r="D10" s="11">
        <v>95983</v>
      </c>
      <c r="E10" s="12">
        <v>100828</v>
      </c>
    </row>
    <row r="11" spans="1:5" x14ac:dyDescent="0.25">
      <c r="A11" s="10" t="s">
        <v>8</v>
      </c>
      <c r="B11" s="11">
        <v>0</v>
      </c>
      <c r="C11" s="11">
        <v>21977</v>
      </c>
      <c r="D11" s="11">
        <v>3064</v>
      </c>
      <c r="E11" s="13">
        <v>0</v>
      </c>
    </row>
    <row r="12" spans="1:5" x14ac:dyDescent="0.25">
      <c r="A12" s="10" t="s">
        <v>9</v>
      </c>
      <c r="B12" s="11">
        <v>0</v>
      </c>
      <c r="C12" s="11">
        <v>0</v>
      </c>
      <c r="D12" s="11">
        <v>72312</v>
      </c>
      <c r="E12" s="13">
        <v>0</v>
      </c>
    </row>
    <row r="13" spans="1:5" x14ac:dyDescent="0.25">
      <c r="A13" s="10" t="s">
        <v>10</v>
      </c>
      <c r="B13" s="11">
        <v>58659.32</v>
      </c>
      <c r="C13" s="11">
        <v>64357.18</v>
      </c>
      <c r="D13" s="11">
        <v>72549.17</v>
      </c>
      <c r="E13" s="12">
        <v>111086.55</v>
      </c>
    </row>
    <row r="14" spans="1:5" x14ac:dyDescent="0.25">
      <c r="A14" s="10" t="s">
        <v>11</v>
      </c>
      <c r="B14" s="11">
        <v>8696.7099999999991</v>
      </c>
      <c r="C14" s="11">
        <v>8963.31</v>
      </c>
      <c r="D14" s="11">
        <v>11362.16</v>
      </c>
      <c r="E14" s="12">
        <v>17288.150000000001</v>
      </c>
    </row>
    <row r="15" spans="1:5" x14ac:dyDescent="0.25">
      <c r="A15" s="10" t="s">
        <v>12</v>
      </c>
      <c r="B15" s="11">
        <v>0</v>
      </c>
      <c r="C15" s="11">
        <v>0</v>
      </c>
      <c r="D15" s="11">
        <v>0</v>
      </c>
      <c r="E15" s="13">
        <v>0</v>
      </c>
    </row>
    <row r="16" spans="1:5" x14ac:dyDescent="0.25">
      <c r="A16" s="10" t="s">
        <v>13</v>
      </c>
      <c r="B16" s="11">
        <v>351.65</v>
      </c>
      <c r="C16" s="11">
        <v>374.31</v>
      </c>
      <c r="D16" s="11">
        <v>494.15</v>
      </c>
      <c r="E16" s="12">
        <v>494.15</v>
      </c>
    </row>
    <row r="17" spans="1:5" x14ac:dyDescent="0.25">
      <c r="A17" s="10" t="s">
        <v>14</v>
      </c>
      <c r="B17" s="11">
        <v>7756.88</v>
      </c>
      <c r="C17" s="11">
        <v>7756.88</v>
      </c>
      <c r="D17" s="11">
        <v>13315.96</v>
      </c>
      <c r="E17" s="12">
        <v>14123.98</v>
      </c>
    </row>
    <row r="18" spans="1:5" x14ac:dyDescent="0.25">
      <c r="A18" s="10" t="s">
        <v>15</v>
      </c>
      <c r="B18" s="11">
        <f>9013.24-937.3</f>
        <v>8075.94</v>
      </c>
      <c r="C18" s="11">
        <f>9710.16-937.3</f>
        <v>8772.86</v>
      </c>
      <c r="D18" s="11">
        <f>15231.31-937.3+132.45</f>
        <v>14426.460000000001</v>
      </c>
      <c r="E18" s="12">
        <f>18186.49+132.45-937.3</f>
        <v>17381.640000000003</v>
      </c>
    </row>
    <row r="19" spans="1:5" x14ac:dyDescent="0.25">
      <c r="A19" s="10" t="s">
        <v>16</v>
      </c>
      <c r="B19" s="11">
        <v>0</v>
      </c>
      <c r="C19" s="11">
        <v>0</v>
      </c>
      <c r="D19" s="11">
        <v>0</v>
      </c>
      <c r="E19" s="13">
        <v>0</v>
      </c>
    </row>
    <row r="20" spans="1:5" x14ac:dyDescent="0.25">
      <c r="A20" s="14" t="s">
        <v>17</v>
      </c>
      <c r="B20" s="15">
        <f t="shared" ref="B20:E20" si="0">SUM(B10:B19)</f>
        <v>156946.5</v>
      </c>
      <c r="C20" s="15">
        <f t="shared" si="0"/>
        <v>204039.53999999998</v>
      </c>
      <c r="D20" s="15">
        <f t="shared" si="0"/>
        <v>283506.90000000002</v>
      </c>
      <c r="E20" s="16">
        <f t="shared" si="0"/>
        <v>261202.47</v>
      </c>
    </row>
    <row r="21" spans="1:5" x14ac:dyDescent="0.25">
      <c r="A21" s="8" t="s">
        <v>18</v>
      </c>
      <c r="B21" s="11"/>
      <c r="C21" s="11"/>
      <c r="D21" s="11"/>
      <c r="E21" s="12"/>
    </row>
    <row r="22" spans="1:5" x14ac:dyDescent="0.25">
      <c r="A22" s="17" t="s">
        <v>19</v>
      </c>
      <c r="B22" s="11">
        <v>6583.8</v>
      </c>
      <c r="C22" s="11">
        <f>407.84+6228</f>
        <v>6635.84</v>
      </c>
      <c r="D22" s="11">
        <f>432.32+1557+1557+1557+1557+675+1350+1237.5</f>
        <v>9922.82</v>
      </c>
      <c r="E22" s="12">
        <v>7182.92</v>
      </c>
    </row>
    <row r="23" spans="1:5" x14ac:dyDescent="0.25">
      <c r="A23" s="17" t="s">
        <v>20</v>
      </c>
      <c r="B23" s="11">
        <f>16331.36</f>
        <v>16331.36</v>
      </c>
      <c r="C23" s="11">
        <v>16403.5</v>
      </c>
      <c r="D23" s="11">
        <v>18998.13</v>
      </c>
      <c r="E23" s="12">
        <f>2615.36+15878.34</f>
        <v>18493.7</v>
      </c>
    </row>
    <row r="24" spans="1:5" x14ac:dyDescent="0.25">
      <c r="A24" s="17" t="s">
        <v>21</v>
      </c>
      <c r="B24" s="11">
        <f>4911.5+270.2</f>
        <v>5181.7</v>
      </c>
      <c r="C24" s="11">
        <v>4911.5</v>
      </c>
      <c r="D24" s="11">
        <v>4941.5</v>
      </c>
      <c r="E24" s="12">
        <v>4944.1400000000003</v>
      </c>
    </row>
    <row r="25" spans="1:5" x14ac:dyDescent="0.25">
      <c r="A25" s="17" t="s">
        <v>22</v>
      </c>
      <c r="B25" s="11">
        <f>1470.31</f>
        <v>1470.31</v>
      </c>
      <c r="C25" s="11">
        <f>1470.31</f>
        <v>1470.31</v>
      </c>
      <c r="D25" s="11">
        <v>1470.31</v>
      </c>
      <c r="E25" s="12">
        <v>1470.31</v>
      </c>
    </row>
    <row r="26" spans="1:5" x14ac:dyDescent="0.25">
      <c r="A26" s="17" t="s">
        <v>23</v>
      </c>
      <c r="B26" s="11">
        <f>3558.22+4621.7+4318.16+2290.4+416.67+78.39</f>
        <v>15283.539999999999</v>
      </c>
      <c r="C26" s="11">
        <f>1822.75+3558.22+650+416.67+800+600+4670.2+4722+350+543.2+180+49-4722-1822.75</f>
        <v>11817.29</v>
      </c>
      <c r="D26" s="11">
        <f>3754+3558.22+426.24+235.4+37.24+1500+930+114.93</f>
        <v>10556.029999999999</v>
      </c>
      <c r="E26" s="12">
        <f>6200+3558.22+416.67+166.83+72.66+200+1500+960+350+43.17+475+143.9</f>
        <v>14086.449999999999</v>
      </c>
    </row>
    <row r="27" spans="1:5" x14ac:dyDescent="0.25">
      <c r="A27" s="17" t="s">
        <v>24</v>
      </c>
      <c r="B27" s="11">
        <v>1240.08</v>
      </c>
      <c r="C27" s="11">
        <v>1767</v>
      </c>
      <c r="D27" s="11">
        <v>0</v>
      </c>
      <c r="E27" s="12">
        <v>735</v>
      </c>
    </row>
    <row r="28" spans="1:5" x14ac:dyDescent="0.25">
      <c r="A28" s="18" t="s">
        <v>25</v>
      </c>
      <c r="B28" s="11">
        <v>0</v>
      </c>
      <c r="C28" s="11">
        <v>0</v>
      </c>
      <c r="D28" s="11">
        <v>0</v>
      </c>
      <c r="E28" s="13">
        <v>0</v>
      </c>
    </row>
    <row r="29" spans="1:5" x14ac:dyDescent="0.25">
      <c r="A29" s="18" t="s">
        <v>26</v>
      </c>
      <c r="B29" s="19">
        <v>1890.37</v>
      </c>
      <c r="C29" s="19">
        <v>2953.5</v>
      </c>
      <c r="D29" s="19">
        <v>3742.65</v>
      </c>
      <c r="E29" s="20">
        <v>3093.39</v>
      </c>
    </row>
    <row r="30" spans="1:5" x14ac:dyDescent="0.25">
      <c r="A30" s="18" t="s">
        <v>27</v>
      </c>
      <c r="B30" s="11">
        <v>519.5</v>
      </c>
      <c r="C30" s="11">
        <v>870.07</v>
      </c>
      <c r="D30" s="11">
        <f>66.76</f>
        <v>66.760000000000005</v>
      </c>
      <c r="E30" s="12">
        <v>177.8</v>
      </c>
    </row>
    <row r="31" spans="1:5" x14ac:dyDescent="0.25">
      <c r="A31" s="18" t="s">
        <v>28</v>
      </c>
      <c r="B31" s="11">
        <f>3921.31+1495.2+4229.21+89+150.75+222.58+215.69</f>
        <v>10323.740000000002</v>
      </c>
      <c r="C31" s="11">
        <f>1495.2+4229.21+3920.06+151.8+217.19+222.58+89</f>
        <v>10325.039999999999</v>
      </c>
      <c r="D31" s="11">
        <f>1495.2+218.44+152.67+222.58+89+3537.09</f>
        <v>5714.9800000000005</v>
      </c>
      <c r="E31" s="12">
        <f>1496.83+200.9+200.9+87.37+3532.26+4525.25</f>
        <v>10043.51</v>
      </c>
    </row>
    <row r="32" spans="1:5" x14ac:dyDescent="0.25">
      <c r="A32" s="18" t="s">
        <v>29</v>
      </c>
      <c r="B32" s="11">
        <f>4318.16+290+480+590</f>
        <v>5678.16</v>
      </c>
      <c r="C32" s="11">
        <v>3581.87</v>
      </c>
      <c r="D32" s="11">
        <f>200+600+480</f>
        <v>1280</v>
      </c>
      <c r="E32" s="13">
        <v>0</v>
      </c>
    </row>
    <row r="33" spans="1:5" x14ac:dyDescent="0.25">
      <c r="A33" s="18" t="s">
        <v>30</v>
      </c>
      <c r="B33" s="11">
        <f>53.58+480.2+38.19+38.38+60.8+120+764.99</f>
        <v>1556.1399999999999</v>
      </c>
      <c r="C33" s="11">
        <f>103.19+106.6+479+479+479+140+1095.5</f>
        <v>2882.29</v>
      </c>
      <c r="D33" s="11">
        <f>611.16+302.46+6862.36</f>
        <v>7775.98</v>
      </c>
      <c r="E33" s="13">
        <v>0</v>
      </c>
    </row>
    <row r="34" spans="1:5" x14ac:dyDescent="0.25">
      <c r="A34" s="18" t="s">
        <v>31</v>
      </c>
      <c r="B34" s="11">
        <f t="shared" ref="B34:C34" si="1">2696.75+1136</f>
        <v>3832.75</v>
      </c>
      <c r="C34" s="11">
        <f t="shared" si="1"/>
        <v>3832.75</v>
      </c>
      <c r="D34" s="11">
        <f>2793.93+1253</f>
        <v>4046.93</v>
      </c>
      <c r="E34" s="12">
        <f>1187.46+2696.75</f>
        <v>3884.21</v>
      </c>
    </row>
    <row r="35" spans="1:5" x14ac:dyDescent="0.25">
      <c r="A35" s="18" t="s">
        <v>32</v>
      </c>
      <c r="B35" s="11">
        <v>49.9</v>
      </c>
      <c r="C35" s="11">
        <v>49.9</v>
      </c>
      <c r="D35" s="11">
        <v>49.9</v>
      </c>
      <c r="E35" s="12">
        <v>49.9</v>
      </c>
    </row>
    <row r="36" spans="1:5" x14ac:dyDescent="0.25">
      <c r="A36" s="18" t="s">
        <v>33</v>
      </c>
      <c r="B36" s="11">
        <f>486+980.4</f>
        <v>1466.4</v>
      </c>
      <c r="C36" s="11">
        <f>324+612.75</f>
        <v>936.75</v>
      </c>
      <c r="D36" s="11">
        <v>490.2</v>
      </c>
      <c r="E36" s="12">
        <v>1715.7</v>
      </c>
    </row>
    <row r="37" spans="1:5" x14ac:dyDescent="0.25">
      <c r="A37" s="18" t="s">
        <v>34</v>
      </c>
      <c r="B37" s="11">
        <f>4370+13783+330</f>
        <v>18483</v>
      </c>
      <c r="C37" s="11">
        <f>2300+1800+1438+9499.5+9965</f>
        <v>25002.5</v>
      </c>
      <c r="D37" s="11">
        <f>1447.99+13000+140+16.8+500+500+500+500+250+250+250+250+10740+1800+11841.6+26000+42010.19+13460</f>
        <v>123456.58</v>
      </c>
      <c r="E37" s="12">
        <f>45800+56027.17+350+261.95</f>
        <v>102439.12</v>
      </c>
    </row>
    <row r="38" spans="1:5" x14ac:dyDescent="0.25">
      <c r="A38" s="18" t="s">
        <v>35</v>
      </c>
      <c r="B38" s="11">
        <f>500+500+208.8+39</f>
        <v>1247.8</v>
      </c>
      <c r="C38" s="11">
        <f>1000+500+500+3720.03</f>
        <v>5720.0300000000007</v>
      </c>
      <c r="D38" s="11">
        <f>500+1000+1000+4120.96</f>
        <v>6620.96</v>
      </c>
      <c r="E38" s="12">
        <f>500+3322.87</f>
        <v>3822.87</v>
      </c>
    </row>
    <row r="39" spans="1:5" x14ac:dyDescent="0.25">
      <c r="A39" s="18" t="s">
        <v>36</v>
      </c>
      <c r="B39" s="11">
        <f>532.47+549.96</f>
        <v>1082.43</v>
      </c>
      <c r="C39" s="11">
        <v>1565.58</v>
      </c>
      <c r="D39" s="11">
        <v>1198.1400000000001</v>
      </c>
      <c r="E39" s="12">
        <v>806.58</v>
      </c>
    </row>
    <row r="40" spans="1:5" x14ac:dyDescent="0.25">
      <c r="A40" s="18" t="s">
        <v>37</v>
      </c>
      <c r="B40" s="11">
        <v>0</v>
      </c>
      <c r="C40" s="11">
        <v>0</v>
      </c>
      <c r="D40" s="11">
        <v>0</v>
      </c>
      <c r="E40" s="13">
        <v>0</v>
      </c>
    </row>
    <row r="41" spans="1:5" x14ac:dyDescent="0.25">
      <c r="A41" s="18" t="s">
        <v>38</v>
      </c>
      <c r="B41" s="11">
        <v>60</v>
      </c>
      <c r="C41" s="11">
        <v>130</v>
      </c>
      <c r="D41" s="11">
        <v>80</v>
      </c>
      <c r="E41" s="12">
        <f>130+866.67+250</f>
        <v>1246.67</v>
      </c>
    </row>
    <row r="42" spans="1:5" x14ac:dyDescent="0.25">
      <c r="A42" s="18" t="s">
        <v>39</v>
      </c>
      <c r="B42" s="19">
        <f>384.8+3251.01</f>
        <v>3635.8100000000004</v>
      </c>
      <c r="C42" s="19">
        <f>821.32+4283.73+19.99</f>
        <v>5125.0399999999991</v>
      </c>
      <c r="D42" s="19">
        <f>3609.06</f>
        <v>3609.06</v>
      </c>
      <c r="E42" s="20">
        <f>428.82+1428.65</f>
        <v>1857.47</v>
      </c>
    </row>
    <row r="43" spans="1:5" x14ac:dyDescent="0.25">
      <c r="A43" s="18" t="s">
        <v>40</v>
      </c>
      <c r="B43" s="11">
        <v>540</v>
      </c>
      <c r="C43" s="11">
        <v>7790</v>
      </c>
      <c r="D43" s="11">
        <f>1869.6+264</f>
        <v>2133.6</v>
      </c>
      <c r="E43" s="12">
        <v>1200</v>
      </c>
    </row>
    <row r="44" spans="1:5" ht="13.5" customHeight="1" x14ac:dyDescent="0.25">
      <c r="A44" s="21" t="s">
        <v>41</v>
      </c>
      <c r="B44" s="11">
        <f>1780.3+300.5+9.46+3549.59+12.33+3026.47</f>
        <v>8678.65</v>
      </c>
      <c r="C44" s="11">
        <f>1569.51+409.76+208.18+3708.2</f>
        <v>5895.65</v>
      </c>
      <c r="D44" s="11">
        <f>1653.4+462.26+327.72+1540.88+2678.33</f>
        <v>6662.59</v>
      </c>
      <c r="E44" s="12">
        <f>672.83+28.38+4698.45+1378.92+2066.18+393.8+63.19</f>
        <v>9301.75</v>
      </c>
    </row>
    <row r="45" spans="1:5" x14ac:dyDescent="0.25">
      <c r="A45" s="22" t="s">
        <v>42</v>
      </c>
      <c r="B45" s="15">
        <f t="shared" ref="B45:E45" si="2">SUM(B22:B44)</f>
        <v>105135.43999999999</v>
      </c>
      <c r="C45" s="15">
        <f t="shared" si="2"/>
        <v>119666.40999999999</v>
      </c>
      <c r="D45" s="15">
        <f t="shared" si="2"/>
        <v>212817.12</v>
      </c>
      <c r="E45" s="16">
        <f t="shared" si="2"/>
        <v>186551.49000000002</v>
      </c>
    </row>
    <row r="46" spans="1:5" x14ac:dyDescent="0.25">
      <c r="A46" s="23"/>
      <c r="B46" s="11"/>
      <c r="C46" s="11"/>
      <c r="D46" s="11"/>
      <c r="E46" s="12"/>
    </row>
    <row r="47" spans="1:5" x14ac:dyDescent="0.25">
      <c r="A47" s="24" t="s">
        <v>43</v>
      </c>
      <c r="B47" s="11"/>
      <c r="C47" s="11"/>
      <c r="D47" s="11"/>
      <c r="E47" s="12"/>
    </row>
    <row r="48" spans="1:5" x14ac:dyDescent="0.25">
      <c r="A48" s="25" t="s">
        <v>44</v>
      </c>
      <c r="B48" s="11">
        <f>923.41+4783.1+1714.69</f>
        <v>7421.2000000000007</v>
      </c>
      <c r="C48" s="11">
        <f>900+982.8</f>
        <v>1882.8</v>
      </c>
      <c r="D48" s="11">
        <f>3918.77</f>
        <v>3918.77</v>
      </c>
      <c r="E48" s="12">
        <f>2518.43+4106.94</f>
        <v>6625.369999999999</v>
      </c>
    </row>
    <row r="49" spans="1:5" x14ac:dyDescent="0.25">
      <c r="A49" s="25" t="s">
        <v>45</v>
      </c>
      <c r="B49" s="11">
        <f>4728.68-529.4</f>
        <v>4199.2800000000007</v>
      </c>
      <c r="C49" s="11">
        <f>7189.6-427.38</f>
        <v>6762.22</v>
      </c>
      <c r="D49" s="11">
        <f>5656.86-2224+80.92</f>
        <v>3513.7799999999997</v>
      </c>
      <c r="E49" s="12">
        <f>6657.86-2295.37</f>
        <v>4362.49</v>
      </c>
    </row>
    <row r="50" spans="1:5" x14ac:dyDescent="0.25">
      <c r="A50" s="25" t="s">
        <v>46</v>
      </c>
      <c r="B50" s="11">
        <v>0</v>
      </c>
      <c r="C50" s="11">
        <f>1923.49-1290.04-633.45</f>
        <v>0</v>
      </c>
      <c r="D50" s="11">
        <v>0</v>
      </c>
      <c r="E50" s="13">
        <v>0</v>
      </c>
    </row>
    <row r="51" spans="1:5" x14ac:dyDescent="0.25">
      <c r="A51" s="22" t="s">
        <v>47</v>
      </c>
      <c r="B51" s="15">
        <f t="shared" ref="B51:E51" si="3">SUM(B48:B50)</f>
        <v>11620.480000000001</v>
      </c>
      <c r="C51" s="15">
        <f t="shared" si="3"/>
        <v>8645.02</v>
      </c>
      <c r="D51" s="15">
        <f t="shared" si="3"/>
        <v>7432.5499999999993</v>
      </c>
      <c r="E51" s="16">
        <f t="shared" si="3"/>
        <v>10987.859999999999</v>
      </c>
    </row>
    <row r="52" spans="1:5" x14ac:dyDescent="0.25">
      <c r="A52" s="23"/>
      <c r="B52" s="11"/>
      <c r="C52" s="11"/>
      <c r="D52" s="11"/>
      <c r="E52" s="12"/>
    </row>
    <row r="53" spans="1:5" x14ac:dyDescent="0.25">
      <c r="A53" s="23"/>
      <c r="B53" s="11"/>
      <c r="C53" s="11"/>
      <c r="D53" s="11"/>
      <c r="E53" s="12"/>
    </row>
    <row r="54" spans="1:5" x14ac:dyDescent="0.25">
      <c r="A54" s="24" t="s">
        <v>48</v>
      </c>
      <c r="B54" s="11"/>
      <c r="C54" s="11"/>
      <c r="D54" s="11"/>
      <c r="E54" s="12"/>
    </row>
    <row r="55" spans="1:5" x14ac:dyDescent="0.25">
      <c r="A55" s="25" t="s">
        <v>49</v>
      </c>
      <c r="B55" s="11">
        <f>1483+609+5568.06</f>
        <v>7660.06</v>
      </c>
      <c r="C55" s="11">
        <v>1850</v>
      </c>
      <c r="D55" s="11">
        <v>17029.05</v>
      </c>
      <c r="E55" s="13">
        <v>0</v>
      </c>
    </row>
    <row r="56" spans="1:5" x14ac:dyDescent="0.25">
      <c r="A56" s="25" t="s">
        <v>50</v>
      </c>
      <c r="B56" s="11">
        <v>0</v>
      </c>
      <c r="C56" s="11">
        <v>1019.67</v>
      </c>
      <c r="D56" s="11">
        <v>1019.67</v>
      </c>
      <c r="E56" s="12">
        <v>1005.21</v>
      </c>
    </row>
    <row r="57" spans="1:5" x14ac:dyDescent="0.25">
      <c r="A57" s="22" t="s">
        <v>51</v>
      </c>
      <c r="B57" s="15">
        <f t="shared" ref="B57:E57" si="4">SUM(B55:B56)</f>
        <v>7660.06</v>
      </c>
      <c r="C57" s="15">
        <f t="shared" si="4"/>
        <v>2869.67</v>
      </c>
      <c r="D57" s="15">
        <f t="shared" si="4"/>
        <v>18048.719999999998</v>
      </c>
      <c r="E57" s="16">
        <f t="shared" si="4"/>
        <v>1005.21</v>
      </c>
    </row>
    <row r="58" spans="1:5" x14ac:dyDescent="0.25">
      <c r="A58" s="25"/>
      <c r="B58" s="11"/>
      <c r="C58" s="11"/>
      <c r="D58" s="11"/>
      <c r="E58" s="12"/>
    </row>
    <row r="59" spans="1:5" x14ac:dyDescent="0.25">
      <c r="A59" s="24" t="s">
        <v>52</v>
      </c>
      <c r="B59" s="11"/>
      <c r="C59" s="11"/>
      <c r="D59" s="11"/>
      <c r="E59" s="12"/>
    </row>
    <row r="60" spans="1:5" x14ac:dyDescent="0.25">
      <c r="A60" s="25" t="s">
        <v>53</v>
      </c>
      <c r="B60" s="11"/>
      <c r="C60" s="11"/>
      <c r="D60" s="11"/>
      <c r="E60" s="12"/>
    </row>
    <row r="61" spans="1:5" x14ac:dyDescent="0.25">
      <c r="A61" s="22" t="s">
        <v>54</v>
      </c>
      <c r="B61" s="15">
        <f t="shared" ref="B61:E61" si="5">B60</f>
        <v>0</v>
      </c>
      <c r="C61" s="15">
        <f t="shared" si="5"/>
        <v>0</v>
      </c>
      <c r="D61" s="15">
        <f t="shared" si="5"/>
        <v>0</v>
      </c>
      <c r="E61" s="26">
        <f t="shared" si="5"/>
        <v>0</v>
      </c>
    </row>
    <row r="62" spans="1:5" x14ac:dyDescent="0.25">
      <c r="A62" s="27" t="s">
        <v>55</v>
      </c>
      <c r="B62" s="28">
        <f t="shared" ref="B62:E62" si="6">B20+B45+B51+B57+B61</f>
        <v>281362.48</v>
      </c>
      <c r="C62" s="28">
        <f t="shared" si="6"/>
        <v>335220.63999999996</v>
      </c>
      <c r="D62" s="28">
        <f t="shared" si="6"/>
        <v>521805.29</v>
      </c>
      <c r="E62" s="29">
        <f t="shared" si="6"/>
        <v>459747.03</v>
      </c>
    </row>
    <row r="63" spans="1:5" x14ac:dyDescent="0.25">
      <c r="A63" s="30"/>
      <c r="B63" s="31"/>
      <c r="C63" s="31"/>
      <c r="D63" s="31"/>
      <c r="E63" s="32"/>
    </row>
    <row r="64" spans="1:5" x14ac:dyDescent="0.25">
      <c r="A64" s="33" t="s">
        <v>56</v>
      </c>
      <c r="B64" s="34" t="s">
        <v>57</v>
      </c>
      <c r="C64" s="34" t="s">
        <v>58</v>
      </c>
      <c r="D64" s="34" t="s">
        <v>59</v>
      </c>
      <c r="E64" s="34" t="s">
        <v>60</v>
      </c>
    </row>
    <row r="65" spans="1:5" x14ac:dyDescent="0.25">
      <c r="A65" s="35" t="s">
        <v>61</v>
      </c>
      <c r="B65" s="36">
        <f>208808.86+42274</f>
        <v>251082.86</v>
      </c>
      <c r="C65" s="36">
        <f>213607+53654</f>
        <v>267261</v>
      </c>
      <c r="D65" s="36">
        <f>206433.04+38159</f>
        <v>244592.04</v>
      </c>
      <c r="E65" s="37">
        <f>204013.67+81081</f>
        <v>285094.67000000004</v>
      </c>
    </row>
    <row r="66" spans="1:5" x14ac:dyDescent="0.25">
      <c r="A66" s="35" t="s">
        <v>62</v>
      </c>
      <c r="B66" s="36">
        <v>22523.61</v>
      </c>
      <c r="C66" s="36">
        <v>24355.51</v>
      </c>
      <c r="D66" s="36">
        <v>9000.85</v>
      </c>
      <c r="E66" s="38">
        <v>0</v>
      </c>
    </row>
    <row r="67" spans="1:5" x14ac:dyDescent="0.25">
      <c r="B67" s="39"/>
      <c r="C67" s="39"/>
      <c r="D67" s="39"/>
      <c r="E67" s="39"/>
    </row>
    <row r="70" spans="1:5" x14ac:dyDescent="0.25">
      <c r="A70" s="40"/>
    </row>
    <row r="71" spans="1:5" x14ac:dyDescent="0.25">
      <c r="A71" s="40"/>
    </row>
  </sheetData>
  <mergeCells count="2">
    <mergeCell ref="A7:E7"/>
    <mergeCell ref="A8:E8"/>
  </mergeCells>
  <pageMargins left="0.51181102362204722" right="0.51181102362204722" top="0.78740157480314965" bottom="0.78740157480314965" header="0.31496062992125984" footer="0.31496062992125984"/>
  <pageSetup paperSize="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3º QUADRIMESTRE</vt:lpstr>
      <vt:lpstr>'3º QUADRIMESTRE'!Titulos_de_impressao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Administrativo - Consórcio PCJ</dc:creator>
  <cp:lastModifiedBy>Apoio Administrativo - Consórcio PCJ</cp:lastModifiedBy>
  <cp:lastPrinted>2025-05-22T15:14:41Z</cp:lastPrinted>
  <dcterms:created xsi:type="dcterms:W3CDTF">2025-05-22T15:13:03Z</dcterms:created>
  <dcterms:modified xsi:type="dcterms:W3CDTF">2025-05-22T15:19:40Z</dcterms:modified>
</cp:coreProperties>
</file>