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ublica\FINANCEIRO\"/>
    </mc:Choice>
  </mc:AlternateContent>
  <xr:revisionPtr revIDLastSave="0" documentId="8_{C129AF7C-DB33-493C-AE92-AE738B93E843}" xr6:coauthVersionLast="47" xr6:coauthVersionMax="47" xr10:uidLastSave="{00000000-0000-0000-0000-000000000000}"/>
  <bookViews>
    <workbookView xWindow="-120" yWindow="-120" windowWidth="29040" windowHeight="15720" xr2:uid="{2A3E25A5-2926-43CD-AA2C-4A2BD2E0970D}"/>
  </bookViews>
  <sheets>
    <sheet name="1º Quadrimestre d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4" i="1"/>
  <c r="C54" i="1"/>
  <c r="E53" i="1"/>
  <c r="D53" i="1"/>
  <c r="C53" i="1"/>
  <c r="B53" i="1"/>
  <c r="E49" i="1"/>
  <c r="D49" i="1"/>
  <c r="C49" i="1"/>
  <c r="B49" i="1"/>
  <c r="E46" i="1"/>
  <c r="D46" i="1"/>
  <c r="C46" i="1"/>
  <c r="B46" i="1"/>
  <c r="E42" i="1"/>
  <c r="C42" i="1"/>
  <c r="B42" i="1"/>
  <c r="E40" i="1"/>
  <c r="D40" i="1"/>
  <c r="D42" i="1" s="1"/>
  <c r="C40" i="1"/>
  <c r="B40" i="1"/>
  <c r="E36" i="1"/>
  <c r="D36" i="1"/>
  <c r="C36" i="1"/>
  <c r="B36" i="1"/>
  <c r="E35" i="1"/>
  <c r="D35" i="1"/>
  <c r="B35" i="1"/>
  <c r="E33" i="1"/>
  <c r="D33" i="1"/>
  <c r="C33" i="1"/>
  <c r="B33" i="1"/>
  <c r="E28" i="1"/>
  <c r="D28" i="1"/>
  <c r="C28" i="1"/>
  <c r="B28" i="1"/>
  <c r="E27" i="1"/>
  <c r="C27" i="1"/>
  <c r="D26" i="1"/>
  <c r="C26" i="1"/>
  <c r="E25" i="1"/>
  <c r="D25" i="1"/>
  <c r="B25" i="1"/>
  <c r="E24" i="1"/>
  <c r="B24" i="1"/>
  <c r="E20" i="1"/>
  <c r="D20" i="1"/>
  <c r="C20" i="1"/>
  <c r="B20" i="1"/>
  <c r="D19" i="1"/>
  <c r="E18" i="1"/>
  <c r="D18" i="1"/>
  <c r="C18" i="1"/>
  <c r="B18" i="1"/>
  <c r="E17" i="1"/>
  <c r="E37" i="1" s="1"/>
  <c r="B16" i="1"/>
  <c r="D15" i="1"/>
  <c r="D37" i="1" s="1"/>
  <c r="C15" i="1"/>
  <c r="C37" i="1" s="1"/>
  <c r="B15" i="1"/>
  <c r="B37" i="1" s="1"/>
  <c r="E13" i="1"/>
  <c r="E50" i="1" s="1"/>
  <c r="D13" i="1"/>
  <c r="B13" i="1"/>
  <c r="E10" i="1"/>
  <c r="D10" i="1"/>
  <c r="C10" i="1"/>
  <c r="B10" i="1"/>
  <c r="B7" i="1"/>
  <c r="B4" i="1"/>
  <c r="E3" i="1"/>
  <c r="C3" i="1"/>
  <c r="C13" i="1" s="1"/>
  <c r="C50" i="1" s="1"/>
  <c r="B3" i="1"/>
  <c r="B50" i="1" l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Silmara Nonato - Consórcio PCJ</author>
  </authors>
  <commentList>
    <comment ref="A20" authorId="0" shapeId="0" xr:uid="{AA029244-C672-41AA-A528-4C489126B469}">
      <text>
        <r>
          <rPr>
            <b/>
            <sz val="9"/>
            <color indexed="81"/>
            <rFont val="Segoe UI"/>
            <family val="2"/>
          </rPr>
          <t>Silmara Nonato - Consórcio PCJ:</t>
        </r>
        <r>
          <rPr>
            <sz val="9"/>
            <color indexed="81"/>
            <rFont val="Segoe UI"/>
            <family val="2"/>
          </rPr>
          <t xml:space="preserve">
Triade e FGA
</t>
        </r>
      </text>
    </comment>
  </commentList>
</comments>
</file>

<file path=xl/sharedStrings.xml><?xml version="1.0" encoding="utf-8"?>
<sst xmlns="http://schemas.openxmlformats.org/spreadsheetml/2006/main" count="61" uniqueCount="57">
  <si>
    <t>DESPESA 1º QUADRIMESTRE 2025</t>
  </si>
  <si>
    <t>1 - DESPESAS COM PESSOAL</t>
  </si>
  <si>
    <t>JANEIRO</t>
  </si>
  <si>
    <t>FEVEREIRO</t>
  </si>
  <si>
    <t>MARÇO</t>
  </si>
  <si>
    <t>ABRIL</t>
  </si>
  <si>
    <t>Salários</t>
  </si>
  <si>
    <t>Férias</t>
  </si>
  <si>
    <t>13º Salário</t>
  </si>
  <si>
    <t xml:space="preserve">INSS + IR + PIS </t>
  </si>
  <si>
    <t>FGTS</t>
  </si>
  <si>
    <t>Contribuição e Mensalidade Sindical</t>
  </si>
  <si>
    <t>Cesta Básica</t>
  </si>
  <si>
    <t>Assistência Médica/Plano Odont.</t>
  </si>
  <si>
    <t xml:space="preserve">Prêmio </t>
  </si>
  <si>
    <t>Seguro de Vida</t>
  </si>
  <si>
    <t>Total de Despesas com Pessoal</t>
  </si>
  <si>
    <t>2 - DESPESAS ADMINISTRATIVAS</t>
  </si>
  <si>
    <t>Assinaturas Filiação em Entidades/Jornal</t>
  </si>
  <si>
    <t>Aluguel + Cond. + IPTU + Seguro</t>
  </si>
  <si>
    <t>Cursos + Seminários</t>
  </si>
  <si>
    <t>Caixa Administrativo/desp diversas/cartão</t>
  </si>
  <si>
    <t>Combustível</t>
  </si>
  <si>
    <t xml:space="preserve">Despesas com TI </t>
  </si>
  <si>
    <t>Estagiários + Nube</t>
  </si>
  <si>
    <t>Energia Elétrica</t>
  </si>
  <si>
    <t>Faixas + Banners + Cartazes</t>
  </si>
  <si>
    <t>IPVA + Documentação + Seguro / Manut. Locação Veic.</t>
  </si>
  <si>
    <t xml:space="preserve">Manutenção Hidráulica + Elétr. Geral </t>
  </si>
  <si>
    <t>Material de Escritório + Consumo+TI</t>
  </si>
  <si>
    <t>Material de Copa e Limpeza</t>
  </si>
  <si>
    <t xml:space="preserve">Prestação Serv. Diversos </t>
  </si>
  <si>
    <t>Publicação Legal/Jornal</t>
  </si>
  <si>
    <t>Reuniões + Seminários + Eventos</t>
  </si>
  <si>
    <t>Serviços Contábeis</t>
  </si>
  <si>
    <t>Serviços Jurídicos Especiais + Auditória Externa</t>
  </si>
  <si>
    <t xml:space="preserve">Serviços de Limpeza e Jardim </t>
  </si>
  <si>
    <t>Seguro Escritorio</t>
  </si>
  <si>
    <t>Telefone + Correio + Internet</t>
  </si>
  <si>
    <t>Taxas+IOF+IR (Aplic. Finan.)/ Desp. Banco.Cofins, ICMS</t>
  </si>
  <si>
    <t>Total de Despesas Administrativas</t>
  </si>
  <si>
    <t>3 - DESPESAS COM VIAGENS</t>
  </si>
  <si>
    <t>Passagem Aérea + Estadia</t>
  </si>
  <si>
    <t>Refeições + Táxi + Outras+Diarias</t>
  </si>
  <si>
    <t>Viagem Internacional</t>
  </si>
  <si>
    <t>Total de Despesas com Viagens</t>
  </si>
  <si>
    <t>4 - BENS E EQUIPAMENTOS</t>
  </si>
  <si>
    <t>Imobilizado</t>
  </si>
  <si>
    <t>Bens de Valores Irrelevantes</t>
  </si>
  <si>
    <t>Total de Bens e Equipamentos</t>
  </si>
  <si>
    <t>5 - DESPESAS ESPECÍFICAS DOS PROGRAMAS</t>
  </si>
  <si>
    <t>Desp. c/ Projetos / Consultorias  Previsão</t>
  </si>
  <si>
    <t>Total de Despesas Específicas dos Programas</t>
  </si>
  <si>
    <t xml:space="preserve">Total  Geral </t>
  </si>
  <si>
    <t>RECEITAS 1º QUADRIMESTRE 2025</t>
  </si>
  <si>
    <t>Receitas de Custeio</t>
  </si>
  <si>
    <t>Outras 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</si>
</sst>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2" borderId="4" xfId="0" applyFont="1" applyFill="1" applyBorder="1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4" fontId="5" fillId="0" borderId="4" xfId="0" applyNumberFormat="1" applyFont="1" applyBorder="1"/>
    <xf numFmtId="4" fontId="5" fillId="0" borderId="5" xfId="0" applyNumberFormat="1" applyFont="1" applyBorder="1"/>
    <xf numFmtId="4" fontId="5" fillId="3" borderId="4" xfId="0" applyNumberFormat="1" applyFont="1" applyFill="1" applyBorder="1"/>
    <xf numFmtId="0" fontId="3" fillId="0" borderId="4" xfId="0" applyFont="1" applyBorder="1"/>
    <xf numFmtId="4" fontId="6" fillId="0" borderId="4" xfId="0" applyNumberFormat="1" applyFont="1" applyBorder="1" applyAlignment="1">
      <alignment horizontal="right" vertical="center"/>
    </xf>
    <xf numFmtId="0" fontId="5" fillId="0" borderId="4" xfId="0" applyFont="1" applyBorder="1"/>
    <xf numFmtId="0" fontId="4" fillId="0" borderId="4" xfId="0" applyFont="1" applyBorder="1" applyAlignment="1">
      <alignment horizontal="left" vertical="center"/>
    </xf>
    <xf numFmtId="4" fontId="5" fillId="0" borderId="3" xfId="0" applyNumberFormat="1" applyFont="1" applyBorder="1"/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/>
    <xf numFmtId="0" fontId="7" fillId="0" borderId="4" xfId="0" applyFont="1" applyBorder="1" applyAlignment="1">
      <alignment horizontal="left" vertical="top"/>
    </xf>
    <xf numFmtId="4" fontId="3" fillId="0" borderId="4" xfId="0" applyNumberFormat="1" applyFont="1" applyBorder="1"/>
    <xf numFmtId="0" fontId="4" fillId="0" borderId="1" xfId="0" applyFont="1" applyBorder="1" applyAlignment="1">
      <alignment horizontal="left" vertical="center"/>
    </xf>
    <xf numFmtId="0" fontId="3" fillId="2" borderId="4" xfId="0" applyFont="1" applyFill="1" applyBorder="1"/>
    <xf numFmtId="4" fontId="6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" fillId="0" borderId="0" xfId="0" applyFont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EED6-B6D3-4984-9814-27647ADE2813}">
  <dimension ref="A1:E54"/>
  <sheetViews>
    <sheetView tabSelected="1" workbookViewId="0">
      <selection activeCell="L25" sqref="L25"/>
    </sheetView>
  </sheetViews>
  <sheetFormatPr defaultRowHeight="15" x14ac:dyDescent="0.25"/>
  <cols>
    <col min="1" max="1" width="43.140625" customWidth="1"/>
    <col min="2" max="5" width="10.7109375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x14ac:dyDescent="0.25">
      <c r="A3" s="6" t="s">
        <v>6</v>
      </c>
      <c r="B3" s="7">
        <f>42171+47228+1339</f>
        <v>90738</v>
      </c>
      <c r="C3" s="7">
        <f>451.31+37559+64835</f>
        <v>102845.31</v>
      </c>
      <c r="D3" s="7">
        <v>110732</v>
      </c>
      <c r="E3" s="7">
        <f>48765+59548</f>
        <v>108313</v>
      </c>
    </row>
    <row r="4" spans="1:5" x14ac:dyDescent="0.25">
      <c r="A4" s="6" t="s">
        <v>7</v>
      </c>
      <c r="B4" s="7">
        <f>15172+2000</f>
        <v>17172</v>
      </c>
      <c r="C4" s="7">
        <v>0</v>
      </c>
      <c r="D4" s="7">
        <v>0</v>
      </c>
      <c r="E4" s="7">
        <v>16208</v>
      </c>
    </row>
    <row r="5" spans="1:5" x14ac:dyDescent="0.25">
      <c r="A5" s="6" t="s">
        <v>8</v>
      </c>
      <c r="B5" s="7">
        <v>0</v>
      </c>
      <c r="C5" s="7">
        <v>0</v>
      </c>
      <c r="D5" s="7">
        <v>0</v>
      </c>
      <c r="E5" s="8">
        <v>0</v>
      </c>
    </row>
    <row r="6" spans="1:5" ht="15.75" customHeight="1" x14ac:dyDescent="0.25">
      <c r="A6" s="6" t="s">
        <v>9</v>
      </c>
      <c r="B6" s="7">
        <v>90482.41</v>
      </c>
      <c r="C6" s="7">
        <v>70690.59</v>
      </c>
      <c r="D6" s="7">
        <v>84603.4</v>
      </c>
      <c r="E6" s="7">
        <v>81095.8</v>
      </c>
    </row>
    <row r="7" spans="1:5" x14ac:dyDescent="0.25">
      <c r="A7" s="6" t="s">
        <v>10</v>
      </c>
      <c r="B7" s="7">
        <f>10640.61+2176.02</f>
        <v>12816.630000000001</v>
      </c>
      <c r="C7" s="7">
        <v>10794.52</v>
      </c>
      <c r="D7" s="7">
        <v>12753.41</v>
      </c>
      <c r="E7" s="7">
        <v>12224.24</v>
      </c>
    </row>
    <row r="8" spans="1:5" x14ac:dyDescent="0.25">
      <c r="A8" s="6" t="s">
        <v>11</v>
      </c>
      <c r="B8" s="7">
        <v>494.15</v>
      </c>
      <c r="C8" s="7">
        <v>485.4</v>
      </c>
      <c r="D8" s="7">
        <v>707.19</v>
      </c>
      <c r="E8" s="7">
        <v>709.29</v>
      </c>
    </row>
    <row r="9" spans="1:5" x14ac:dyDescent="0.25">
      <c r="A9" s="6" t="s">
        <v>12</v>
      </c>
      <c r="B9" s="7">
        <v>13025.09</v>
      </c>
      <c r="C9" s="7">
        <v>12604.93</v>
      </c>
      <c r="D9" s="7">
        <v>14117.61</v>
      </c>
      <c r="E9" s="7">
        <v>15271.35</v>
      </c>
    </row>
    <row r="10" spans="1:5" x14ac:dyDescent="0.25">
      <c r="A10" s="6" t="s">
        <v>13</v>
      </c>
      <c r="B10" s="9">
        <f>19951.14-937.3</f>
        <v>19013.84</v>
      </c>
      <c r="C10" s="7">
        <f>16016.27-937.3</f>
        <v>15078.970000000001</v>
      </c>
      <c r="D10" s="7">
        <f>18466.74-1051.36</f>
        <v>17415.38</v>
      </c>
      <c r="E10" s="7">
        <f>18208.2-1051.36</f>
        <v>17156.84</v>
      </c>
    </row>
    <row r="11" spans="1:5" x14ac:dyDescent="0.25">
      <c r="A11" s="6" t="s">
        <v>14</v>
      </c>
      <c r="B11" s="9">
        <v>7623.55</v>
      </c>
      <c r="C11" s="7">
        <v>4117.92</v>
      </c>
      <c r="D11" s="7">
        <v>0</v>
      </c>
      <c r="E11" s="7">
        <v>13711.88</v>
      </c>
    </row>
    <row r="12" spans="1:5" x14ac:dyDescent="0.25">
      <c r="A12" s="6" t="s">
        <v>15</v>
      </c>
      <c r="B12" s="7">
        <v>0</v>
      </c>
      <c r="C12" s="7">
        <v>0</v>
      </c>
      <c r="D12" s="7">
        <v>0</v>
      </c>
      <c r="E12" s="7">
        <v>0</v>
      </c>
    </row>
    <row r="13" spans="1:5" x14ac:dyDescent="0.25">
      <c r="A13" s="10" t="s">
        <v>16</v>
      </c>
      <c r="B13" s="11">
        <f t="shared" ref="B13:E13" si="0">SUM(B3:B12)</f>
        <v>251365.66999999998</v>
      </c>
      <c r="C13" s="11">
        <f t="shared" si="0"/>
        <v>216617.63999999998</v>
      </c>
      <c r="D13" s="11">
        <f t="shared" si="0"/>
        <v>240328.99</v>
      </c>
      <c r="E13" s="11">
        <f t="shared" si="0"/>
        <v>264690.39999999997</v>
      </c>
    </row>
    <row r="14" spans="1:5" x14ac:dyDescent="0.25">
      <c r="A14" s="4" t="s">
        <v>17</v>
      </c>
      <c r="B14" s="12"/>
      <c r="C14" s="12"/>
      <c r="D14" s="12"/>
      <c r="E14" s="12"/>
    </row>
    <row r="15" spans="1:5" x14ac:dyDescent="0.25">
      <c r="A15" s="13" t="s">
        <v>18</v>
      </c>
      <c r="B15" s="14">
        <f>49.9+2893</f>
        <v>2942.9</v>
      </c>
      <c r="C15" s="7">
        <f>463.9+18284.99-485.4</f>
        <v>18263.490000000002</v>
      </c>
      <c r="D15" s="7">
        <f>49.9</f>
        <v>49.9</v>
      </c>
      <c r="E15" s="7">
        <v>55.9</v>
      </c>
    </row>
    <row r="16" spans="1:5" x14ac:dyDescent="0.25">
      <c r="A16" s="6" t="s">
        <v>19</v>
      </c>
      <c r="B16" s="14">
        <f>25557.61-1300</f>
        <v>24257.61</v>
      </c>
      <c r="C16" s="7">
        <v>18741.53</v>
      </c>
      <c r="D16" s="7">
        <v>18960.88</v>
      </c>
      <c r="E16" s="7">
        <v>18085.8</v>
      </c>
    </row>
    <row r="17" spans="1:5" x14ac:dyDescent="0.25">
      <c r="A17" s="13" t="s">
        <v>20</v>
      </c>
      <c r="B17" s="14">
        <v>0</v>
      </c>
      <c r="C17" s="7">
        <v>0</v>
      </c>
      <c r="D17" s="7">
        <v>1653.4</v>
      </c>
      <c r="E17" s="7">
        <f>7100-142</f>
        <v>6958</v>
      </c>
    </row>
    <row r="18" spans="1:5" x14ac:dyDescent="0.25">
      <c r="A18" s="13" t="s">
        <v>21</v>
      </c>
      <c r="B18" s="14">
        <f>1000+580+1024.49+1189.2</f>
        <v>3793.6899999999996</v>
      </c>
      <c r="C18" s="7">
        <f>2500+1402.09</f>
        <v>3902.09</v>
      </c>
      <c r="D18" s="7">
        <f>1000+1429.75</f>
        <v>2429.75</v>
      </c>
      <c r="E18" s="7">
        <f>2000+1364.13+76.09</f>
        <v>3440.2200000000003</v>
      </c>
    </row>
    <row r="19" spans="1:5" x14ac:dyDescent="0.25">
      <c r="A19" s="13" t="s">
        <v>22</v>
      </c>
      <c r="B19" s="14">
        <v>1089.04</v>
      </c>
      <c r="C19" s="7">
        <v>1071.52</v>
      </c>
      <c r="D19" s="7">
        <f>477.06+624.38</f>
        <v>1101.44</v>
      </c>
      <c r="E19" s="7">
        <v>1998.53</v>
      </c>
    </row>
    <row r="20" spans="1:5" x14ac:dyDescent="0.25">
      <c r="A20" s="13" t="s">
        <v>23</v>
      </c>
      <c r="B20" s="14">
        <f>2820.82+4728.25+1187.46</f>
        <v>8736.5299999999988</v>
      </c>
      <c r="C20" s="7">
        <f>2820.82+1187.46</f>
        <v>4008.28</v>
      </c>
      <c r="D20" s="7">
        <f>1187.46+2894.16</f>
        <v>4081.62</v>
      </c>
      <c r="E20" s="7">
        <f>2820.82+1187.46</f>
        <v>4008.28</v>
      </c>
    </row>
    <row r="21" spans="1:5" x14ac:dyDescent="0.25">
      <c r="A21" s="6" t="s">
        <v>24</v>
      </c>
      <c r="B21" s="14">
        <v>5103.22</v>
      </c>
      <c r="C21" s="7">
        <v>6099.32</v>
      </c>
      <c r="D21" s="7">
        <v>8517.33</v>
      </c>
      <c r="E21" s="7">
        <v>8665.4</v>
      </c>
    </row>
    <row r="22" spans="1:5" x14ac:dyDescent="0.25">
      <c r="A22" s="13" t="s">
        <v>25</v>
      </c>
      <c r="B22" s="15">
        <v>2727.68</v>
      </c>
      <c r="C22" s="16">
        <v>3211.18</v>
      </c>
      <c r="D22" s="16">
        <v>3264.39</v>
      </c>
      <c r="E22" s="16">
        <v>5148.6499999999996</v>
      </c>
    </row>
    <row r="23" spans="1:5" x14ac:dyDescent="0.25">
      <c r="A23" s="13" t="s">
        <v>26</v>
      </c>
      <c r="B23" s="14">
        <v>0</v>
      </c>
      <c r="C23" s="7">
        <v>1060</v>
      </c>
      <c r="D23" s="7">
        <v>310</v>
      </c>
      <c r="E23" s="7">
        <v>331.9</v>
      </c>
    </row>
    <row r="24" spans="1:5" x14ac:dyDescent="0.25">
      <c r="A24" s="13" t="s">
        <v>27</v>
      </c>
      <c r="B24" s="14">
        <f>195+866.67+1200+17460.29</f>
        <v>19721.96</v>
      </c>
      <c r="C24" s="7">
        <v>866.66</v>
      </c>
      <c r="D24" s="7">
        <v>130</v>
      </c>
      <c r="E24" s="7">
        <f>440+2679.5</f>
        <v>3119.5</v>
      </c>
    </row>
    <row r="25" spans="1:5" x14ac:dyDescent="0.25">
      <c r="A25" s="13" t="s">
        <v>28</v>
      </c>
      <c r="B25" s="14">
        <f>487.9+170</f>
        <v>657.9</v>
      </c>
      <c r="C25" s="7">
        <v>2850</v>
      </c>
      <c r="D25" s="7">
        <f>2359+280</f>
        <v>2639</v>
      </c>
      <c r="E25" s="7">
        <f>1778+2202.78+246.32</f>
        <v>4227.1000000000004</v>
      </c>
    </row>
    <row r="26" spans="1:5" x14ac:dyDescent="0.25">
      <c r="A26" s="13" t="s">
        <v>29</v>
      </c>
      <c r="B26" s="17">
        <v>64.900000000000006</v>
      </c>
      <c r="C26" s="7">
        <f>180+148.5+843</f>
        <v>1171.5</v>
      </c>
      <c r="D26" s="7">
        <f>92.32+60.9+168</f>
        <v>321.22000000000003</v>
      </c>
      <c r="E26" s="7">
        <v>4275.8500000000004</v>
      </c>
    </row>
    <row r="27" spans="1:5" x14ac:dyDescent="0.25">
      <c r="A27" s="13" t="s">
        <v>30</v>
      </c>
      <c r="B27" s="14">
        <v>0</v>
      </c>
      <c r="C27" s="7">
        <f>535</f>
        <v>535</v>
      </c>
      <c r="D27" s="7">
        <v>287.10000000000002</v>
      </c>
      <c r="E27" s="7">
        <f>327.8</f>
        <v>327.8</v>
      </c>
    </row>
    <row r="28" spans="1:5" x14ac:dyDescent="0.25">
      <c r="A28" s="6" t="s">
        <v>31</v>
      </c>
      <c r="B28" s="14">
        <f>434+6738-6738+51.45+526</f>
        <v>1011.45</v>
      </c>
      <c r="C28" s="7">
        <f>434+6191.51</f>
        <v>6625.51</v>
      </c>
      <c r="D28" s="7">
        <f>4500+1000+434+2738.7</f>
        <v>8672.7000000000007</v>
      </c>
      <c r="E28" s="7">
        <f>4500+1313.9+137.01+415+526</f>
        <v>6891.91</v>
      </c>
    </row>
    <row r="29" spans="1:5" x14ac:dyDescent="0.25">
      <c r="A29" s="13" t="s">
        <v>32</v>
      </c>
      <c r="B29" s="14">
        <v>2451</v>
      </c>
      <c r="C29" s="7">
        <v>857.85</v>
      </c>
      <c r="D29" s="7">
        <v>735.3</v>
      </c>
      <c r="E29" s="7">
        <v>735.3</v>
      </c>
    </row>
    <row r="30" spans="1:5" x14ac:dyDescent="0.25">
      <c r="A30" s="13" t="s">
        <v>33</v>
      </c>
      <c r="B30" s="14">
        <v>6738</v>
      </c>
      <c r="C30" s="7">
        <v>15816.49</v>
      </c>
      <c r="D30" s="7">
        <v>1409.5</v>
      </c>
      <c r="E30" s="7">
        <v>310.61</v>
      </c>
    </row>
    <row r="31" spans="1:5" x14ac:dyDescent="0.25">
      <c r="A31" s="6" t="s">
        <v>34</v>
      </c>
      <c r="B31" s="14">
        <v>4941.5</v>
      </c>
      <c r="C31" s="7">
        <v>4911.5</v>
      </c>
      <c r="D31" s="7">
        <v>4975.75</v>
      </c>
      <c r="E31" s="7">
        <v>4911.5</v>
      </c>
    </row>
    <row r="32" spans="1:5" x14ac:dyDescent="0.25">
      <c r="A32" s="6" t="s">
        <v>35</v>
      </c>
      <c r="B32" s="14">
        <v>1470.31</v>
      </c>
      <c r="C32" s="7">
        <v>1470.31</v>
      </c>
      <c r="D32" s="7">
        <v>1470.31</v>
      </c>
      <c r="E32" s="7">
        <v>1470.31</v>
      </c>
    </row>
    <row r="33" spans="1:5" x14ac:dyDescent="0.25">
      <c r="A33" s="13" t="s">
        <v>36</v>
      </c>
      <c r="B33" s="14">
        <f>1497.8+4525.25+238.17+205.74+205.74+86.4+3528.67+3528.67-3528.67</f>
        <v>10287.77</v>
      </c>
      <c r="C33" s="7">
        <f>1498.07+86.13+238.17+209.33+209.33+3528</f>
        <v>5769.03</v>
      </c>
      <c r="D33" s="7">
        <f>1562.39+210+210+89.45+238.17+3528</f>
        <v>5838.01</v>
      </c>
      <c r="E33" s="7">
        <f>1562.39+238.17+210+210+89.453528+4525.25</f>
        <v>6835.2635280000004</v>
      </c>
    </row>
    <row r="34" spans="1:5" x14ac:dyDescent="0.25">
      <c r="A34" s="13" t="s">
        <v>37</v>
      </c>
      <c r="B34" s="14">
        <v>0</v>
      </c>
      <c r="C34" s="7">
        <v>0</v>
      </c>
      <c r="D34" s="7">
        <v>0</v>
      </c>
      <c r="E34" s="7">
        <v>0</v>
      </c>
    </row>
    <row r="35" spans="1:5" x14ac:dyDescent="0.25">
      <c r="A35" s="13" t="s">
        <v>38</v>
      </c>
      <c r="B35" s="15">
        <f>6977.99+37.84</f>
        <v>7015.83</v>
      </c>
      <c r="C35" s="16">
        <v>3708.77</v>
      </c>
      <c r="D35" s="16">
        <f>4174.54+1890.71-90.61</f>
        <v>5974.64</v>
      </c>
      <c r="E35" s="16">
        <f>1633.07+50+50+400+1249</f>
        <v>3382.0699999999997</v>
      </c>
    </row>
    <row r="36" spans="1:5" x14ac:dyDescent="0.25">
      <c r="A36" s="18" t="s">
        <v>39</v>
      </c>
      <c r="B36" s="17">
        <f>1776.2+407.33+3834.06</f>
        <v>6017.59</v>
      </c>
      <c r="C36" s="7">
        <f>3606.4+2595.42+3998.91+4.11</f>
        <v>10204.84</v>
      </c>
      <c r="D36" s="7">
        <f>259.45+2980.56+4024.88</f>
        <v>7264.8899999999994</v>
      </c>
      <c r="E36" s="7">
        <f>2320.1+2004.44+12.95</f>
        <v>4337.49</v>
      </c>
    </row>
    <row r="37" spans="1:5" x14ac:dyDescent="0.25">
      <c r="A37" s="10" t="s">
        <v>40</v>
      </c>
      <c r="B37" s="19">
        <f>SUM(B15:B36)</f>
        <v>109028.87999999999</v>
      </c>
      <c r="C37" s="19">
        <f>SUM(C15:C36)</f>
        <v>111144.87000000001</v>
      </c>
      <c r="D37" s="19">
        <f>SUM(D15:D36)</f>
        <v>80087.12999999999</v>
      </c>
      <c r="E37" s="19">
        <f>SUM(E15:E36)</f>
        <v>89517.38352800002</v>
      </c>
    </row>
    <row r="38" spans="1:5" x14ac:dyDescent="0.25">
      <c r="A38" s="4" t="s">
        <v>41</v>
      </c>
      <c r="B38" s="12"/>
      <c r="C38" s="12"/>
      <c r="D38" s="12"/>
      <c r="E38" s="12"/>
    </row>
    <row r="39" spans="1:5" x14ac:dyDescent="0.25">
      <c r="A39" s="20" t="s">
        <v>42</v>
      </c>
      <c r="B39" s="7">
        <v>982.27</v>
      </c>
      <c r="C39" s="7">
        <v>3597.84</v>
      </c>
      <c r="D39" s="7">
        <v>2863.07</v>
      </c>
      <c r="E39" s="7">
        <v>14733.54</v>
      </c>
    </row>
    <row r="40" spans="1:5" x14ac:dyDescent="0.25">
      <c r="A40" s="20" t="s">
        <v>43</v>
      </c>
      <c r="B40" s="7">
        <f>840+5692.56-302.71-2408.81</f>
        <v>3821.0400000000004</v>
      </c>
      <c r="C40" s="9">
        <f>5980.03-1760.1</f>
        <v>4219.93</v>
      </c>
      <c r="D40" s="9">
        <f>6295.37-865.23</f>
        <v>5430.1399999999994</v>
      </c>
      <c r="E40" s="9">
        <f>14247.13-195-1184.46</f>
        <v>12867.669999999998</v>
      </c>
    </row>
    <row r="41" spans="1:5" x14ac:dyDescent="0.25">
      <c r="A41" s="20" t="s">
        <v>44</v>
      </c>
      <c r="B41" s="7">
        <v>0</v>
      </c>
      <c r="C41" s="7">
        <v>0</v>
      </c>
      <c r="D41" s="7">
        <v>0</v>
      </c>
      <c r="E41" s="7">
        <v>0</v>
      </c>
    </row>
    <row r="42" spans="1:5" x14ac:dyDescent="0.25">
      <c r="A42" s="10" t="s">
        <v>45</v>
      </c>
      <c r="B42" s="11">
        <f t="shared" ref="B42:E42" si="1">SUM(B39:B41)</f>
        <v>4803.3100000000004</v>
      </c>
      <c r="C42" s="11">
        <f t="shared" si="1"/>
        <v>7817.77</v>
      </c>
      <c r="D42" s="11">
        <f t="shared" si="1"/>
        <v>8293.2099999999991</v>
      </c>
      <c r="E42" s="11">
        <f t="shared" si="1"/>
        <v>27601.21</v>
      </c>
    </row>
    <row r="43" spans="1:5" x14ac:dyDescent="0.25">
      <c r="A43" s="4" t="s">
        <v>46</v>
      </c>
      <c r="B43" s="12"/>
      <c r="C43" s="12"/>
      <c r="D43" s="12"/>
      <c r="E43" s="12"/>
    </row>
    <row r="44" spans="1:5" x14ac:dyDescent="0.25">
      <c r="A44" s="20" t="s">
        <v>47</v>
      </c>
      <c r="B44" s="14">
        <v>0</v>
      </c>
      <c r="C44" s="7">
        <v>0</v>
      </c>
      <c r="D44" s="7">
        <v>2730</v>
      </c>
      <c r="E44" s="7">
        <v>0</v>
      </c>
    </row>
    <row r="45" spans="1:5" x14ac:dyDescent="0.25">
      <c r="A45" s="20" t="s">
        <v>48</v>
      </c>
      <c r="B45" s="14">
        <v>1760.2</v>
      </c>
      <c r="C45" s="7">
        <v>2343.02</v>
      </c>
      <c r="D45" s="7">
        <v>0</v>
      </c>
      <c r="E45" s="7">
        <v>5496</v>
      </c>
    </row>
    <row r="46" spans="1:5" x14ac:dyDescent="0.25">
      <c r="A46" s="10" t="s">
        <v>49</v>
      </c>
      <c r="B46" s="11">
        <f t="shared" ref="B46:E46" si="2">SUM(B44:B45)</f>
        <v>1760.2</v>
      </c>
      <c r="C46" s="11">
        <f t="shared" si="2"/>
        <v>2343.02</v>
      </c>
      <c r="D46" s="11">
        <f t="shared" si="2"/>
        <v>2730</v>
      </c>
      <c r="E46" s="11">
        <f t="shared" si="2"/>
        <v>5496</v>
      </c>
    </row>
    <row r="47" spans="1:5" x14ac:dyDescent="0.25">
      <c r="A47" s="21" t="s">
        <v>50</v>
      </c>
      <c r="B47" s="12"/>
      <c r="C47" s="12"/>
      <c r="D47" s="12"/>
      <c r="E47" s="12"/>
    </row>
    <row r="48" spans="1:5" x14ac:dyDescent="0.25">
      <c r="A48" s="12" t="s">
        <v>51</v>
      </c>
      <c r="B48" s="14">
        <v>0</v>
      </c>
      <c r="C48" s="7">
        <v>0</v>
      </c>
      <c r="D48" s="7">
        <v>0</v>
      </c>
      <c r="E48" s="7">
        <v>0</v>
      </c>
    </row>
    <row r="49" spans="1:5" x14ac:dyDescent="0.25">
      <c r="A49" s="10" t="s">
        <v>52</v>
      </c>
      <c r="B49" s="22">
        <f>B48</f>
        <v>0</v>
      </c>
      <c r="C49" s="22">
        <f t="shared" ref="C49:E49" si="3">C48</f>
        <v>0</v>
      </c>
      <c r="D49" s="22">
        <f t="shared" si="3"/>
        <v>0</v>
      </c>
      <c r="E49" s="22">
        <f t="shared" si="3"/>
        <v>0</v>
      </c>
    </row>
    <row r="50" spans="1:5" x14ac:dyDescent="0.25">
      <c r="A50" s="23" t="s">
        <v>53</v>
      </c>
      <c r="B50" s="11">
        <f>B13+B37+B42+B46+B49</f>
        <v>366958.06</v>
      </c>
      <c r="C50" s="11">
        <f>C13+C37+C42+C46+C49</f>
        <v>337923.30000000005</v>
      </c>
      <c r="D50" s="11">
        <f>D13+D37+D42+D46+D49</f>
        <v>331439.33</v>
      </c>
      <c r="E50" s="11">
        <f>E13+E37+E42+E46+E49</f>
        <v>387304.99352800002</v>
      </c>
    </row>
    <row r="51" spans="1:5" x14ac:dyDescent="0.25">
      <c r="A51" s="24"/>
      <c r="B51" s="25"/>
      <c r="C51" s="25"/>
      <c r="D51" s="25"/>
      <c r="E51" s="25"/>
    </row>
    <row r="52" spans="1:5" ht="15.75" x14ac:dyDescent="0.25">
      <c r="A52" s="26" t="s">
        <v>54</v>
      </c>
      <c r="B52" s="5" t="s">
        <v>2</v>
      </c>
      <c r="C52" s="5" t="s">
        <v>3</v>
      </c>
      <c r="D52" s="5" t="s">
        <v>4</v>
      </c>
      <c r="E52" s="5" t="s">
        <v>5</v>
      </c>
    </row>
    <row r="53" spans="1:5" x14ac:dyDescent="0.25">
      <c r="A53" s="27" t="s">
        <v>55</v>
      </c>
      <c r="B53" s="7">
        <f>443303.48+95376</f>
        <v>538679.48</v>
      </c>
      <c r="C53" s="7">
        <f>760267.16+119896</f>
        <v>880163.16</v>
      </c>
      <c r="D53" s="7">
        <f>218544.64+165540</f>
        <v>384084.64</v>
      </c>
      <c r="E53" s="7">
        <f>214697.46+95611.4</f>
        <v>310308.86</v>
      </c>
    </row>
    <row r="54" spans="1:5" x14ac:dyDescent="0.25">
      <c r="A54" s="27" t="s">
        <v>56</v>
      </c>
      <c r="B54" s="7">
        <v>25154.82</v>
      </c>
      <c r="C54" s="7">
        <f>25884.04+7277.34</f>
        <v>33161.380000000005</v>
      </c>
      <c r="D54" s="7">
        <f>27283.84+9244.51</f>
        <v>36528.35</v>
      </c>
      <c r="E54" s="7">
        <f>7140.06+6810.68</f>
        <v>13950.740000000002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Quadrimestre de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Nonato - Consórcio PCJ</dc:creator>
  <cp:lastModifiedBy>Silmara Nonato - Consórcio PCJ</cp:lastModifiedBy>
  <dcterms:created xsi:type="dcterms:W3CDTF">2025-05-22T16:33:45Z</dcterms:created>
  <dcterms:modified xsi:type="dcterms:W3CDTF">2025-05-22T16:36:00Z</dcterms:modified>
</cp:coreProperties>
</file>