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ente.adm01\Desktop\"/>
    </mc:Choice>
  </mc:AlternateContent>
  <xr:revisionPtr revIDLastSave="0" documentId="13_ncr:1_{B92A2B96-5F28-431A-9E96-EFA594ADF011}" xr6:coauthVersionLast="47" xr6:coauthVersionMax="47" xr10:uidLastSave="{00000000-0000-0000-0000-000000000000}"/>
  <bookViews>
    <workbookView xWindow="-108" yWindow="-108" windowWidth="23256" windowHeight="12456" xr2:uid="{FEAF5A93-7245-4492-8AB8-831369EFE3FA}"/>
  </bookViews>
  <sheets>
    <sheet name="1º  QUADRIMESTRE 2025" sheetId="1" r:id="rId1"/>
    <sheet name="2º QUADRIMESTRE 2025" sheetId="2" state="hidden" r:id="rId2"/>
    <sheet name="3º QUADRIMESTRE 2025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3" l="1"/>
  <c r="C52" i="3"/>
  <c r="B53" i="3"/>
  <c r="B52" i="3"/>
  <c r="D53" i="3"/>
  <c r="D52" i="3"/>
  <c r="E53" i="3"/>
  <c r="E52" i="3"/>
  <c r="E46" i="3"/>
  <c r="D46" i="3"/>
  <c r="C46" i="3"/>
  <c r="B46" i="3"/>
  <c r="B42" i="3"/>
  <c r="E40" i="3"/>
  <c r="E42" i="3" s="1"/>
  <c r="D40" i="3"/>
  <c r="D42" i="3" s="1"/>
  <c r="C40" i="3"/>
  <c r="C42" i="3" s="1"/>
  <c r="E36" i="3"/>
  <c r="D36" i="3"/>
  <c r="C36" i="3"/>
  <c r="B36" i="3"/>
  <c r="D35" i="3"/>
  <c r="C35" i="3"/>
  <c r="E33" i="3"/>
  <c r="D33" i="3"/>
  <c r="C33" i="3"/>
  <c r="B33" i="3"/>
  <c r="D31" i="3"/>
  <c r="E30" i="3"/>
  <c r="D30" i="3"/>
  <c r="C30" i="3"/>
  <c r="E29" i="3"/>
  <c r="C29" i="3"/>
  <c r="E28" i="3"/>
  <c r="D28" i="3"/>
  <c r="C28" i="3"/>
  <c r="B28" i="3"/>
  <c r="C27" i="3"/>
  <c r="C26" i="3"/>
  <c r="B26" i="3"/>
  <c r="C25" i="3"/>
  <c r="B25" i="3"/>
  <c r="D24" i="3"/>
  <c r="B23" i="3"/>
  <c r="E20" i="3"/>
  <c r="D20" i="3"/>
  <c r="C20" i="3"/>
  <c r="B20" i="3"/>
  <c r="E19" i="3"/>
  <c r="E18" i="3"/>
  <c r="D18" i="3"/>
  <c r="C18" i="3"/>
  <c r="B18" i="3"/>
  <c r="B37" i="3" s="1"/>
  <c r="E16" i="3"/>
  <c r="E37" i="3" s="1"/>
  <c r="D16" i="3"/>
  <c r="D37" i="3" s="1"/>
  <c r="C16" i="3"/>
  <c r="C37" i="3" s="1"/>
  <c r="B13" i="3"/>
  <c r="E10" i="3"/>
  <c r="E13" i="3" s="1"/>
  <c r="D10" i="3"/>
  <c r="D13" i="3" s="1"/>
  <c r="C3" i="3"/>
  <c r="C13" i="3" s="1"/>
  <c r="E53" i="2"/>
  <c r="E52" i="2"/>
  <c r="D53" i="2"/>
  <c r="D52" i="2"/>
  <c r="C53" i="2"/>
  <c r="C52" i="2"/>
  <c r="B53" i="2"/>
  <c r="B52" i="2"/>
  <c r="E46" i="2"/>
  <c r="B46" i="2"/>
  <c r="D45" i="2"/>
  <c r="D46" i="2" s="1"/>
  <c r="C45" i="2"/>
  <c r="C46" i="2" s="1"/>
  <c r="E40" i="2"/>
  <c r="D40" i="2"/>
  <c r="C40" i="2"/>
  <c r="B40" i="2"/>
  <c r="E36" i="2"/>
  <c r="D36" i="2"/>
  <c r="C36" i="2"/>
  <c r="B36" i="2"/>
  <c r="B35" i="2"/>
  <c r="E33" i="2"/>
  <c r="D33" i="2"/>
  <c r="C33" i="2"/>
  <c r="B33" i="2"/>
  <c r="E32" i="2"/>
  <c r="C32" i="2"/>
  <c r="B32" i="2"/>
  <c r="D30" i="2"/>
  <c r="C30" i="2"/>
  <c r="D29" i="2"/>
  <c r="E28" i="2"/>
  <c r="D28" i="2"/>
  <c r="C28" i="2"/>
  <c r="B28" i="2"/>
  <c r="B26" i="2"/>
  <c r="B25" i="2"/>
  <c r="C24" i="2"/>
  <c r="E21" i="2"/>
  <c r="C21" i="2"/>
  <c r="B21" i="2"/>
  <c r="E20" i="2"/>
  <c r="D20" i="2"/>
  <c r="C20" i="2"/>
  <c r="B20" i="2"/>
  <c r="B19" i="2"/>
  <c r="E18" i="2"/>
  <c r="D18" i="2"/>
  <c r="C18" i="2"/>
  <c r="B18" i="2"/>
  <c r="E16" i="2"/>
  <c r="E37" i="2" s="1"/>
  <c r="C16" i="2"/>
  <c r="B16" i="2"/>
  <c r="B37" i="2" s="1"/>
  <c r="C11" i="2"/>
  <c r="E10" i="2"/>
  <c r="E13" i="2" s="1"/>
  <c r="D10" i="2"/>
  <c r="D13" i="2" s="1"/>
  <c r="C10" i="2"/>
  <c r="B10" i="2"/>
  <c r="B13" i="2" s="1"/>
  <c r="C3" i="2"/>
  <c r="D37" i="2" l="1"/>
  <c r="C37" i="2"/>
  <c r="C13" i="2"/>
  <c r="E53" i="1" l="1"/>
  <c r="D53" i="1"/>
  <c r="C53" i="1"/>
  <c r="C37" i="1"/>
  <c r="E42" i="2"/>
  <c r="D42" i="2"/>
  <c r="C42" i="2"/>
  <c r="B42" i="2"/>
  <c r="C52" i="1"/>
  <c r="E52" i="1"/>
  <c r="D52" i="1"/>
  <c r="B52" i="1"/>
  <c r="C49" i="1"/>
  <c r="D49" i="1"/>
  <c r="E49" i="1"/>
  <c r="B49" i="1"/>
  <c r="E46" i="1"/>
  <c r="D46" i="1"/>
  <c r="C46" i="1"/>
  <c r="B46" i="1"/>
  <c r="E40" i="1"/>
  <c r="E42" i="1" s="1"/>
  <c r="D40" i="1"/>
  <c r="D42" i="1" s="1"/>
  <c r="C40" i="1"/>
  <c r="C42" i="1" s="1"/>
  <c r="B40" i="1"/>
  <c r="B42" i="1" s="1"/>
  <c r="E36" i="1"/>
  <c r="D36" i="1"/>
  <c r="C36" i="1"/>
  <c r="B36" i="1"/>
  <c r="E35" i="1"/>
  <c r="D35" i="1"/>
  <c r="B35" i="1"/>
  <c r="E33" i="1"/>
  <c r="D33" i="1"/>
  <c r="C33" i="1"/>
  <c r="B33" i="1"/>
  <c r="E28" i="1"/>
  <c r="D28" i="1"/>
  <c r="C28" i="1"/>
  <c r="B28" i="1"/>
  <c r="E27" i="1"/>
  <c r="C27" i="1"/>
  <c r="D26" i="1"/>
  <c r="C26" i="1"/>
  <c r="E25" i="1"/>
  <c r="D25" i="1"/>
  <c r="B25" i="1"/>
  <c r="E24" i="1"/>
  <c r="B24" i="1"/>
  <c r="E20" i="1"/>
  <c r="D20" i="1"/>
  <c r="C20" i="1"/>
  <c r="B20" i="1"/>
  <c r="D19" i="1"/>
  <c r="E18" i="1"/>
  <c r="D18" i="1"/>
  <c r="C18" i="1"/>
  <c r="B18" i="1"/>
  <c r="E17" i="1"/>
  <c r="B16" i="1"/>
  <c r="D15" i="1"/>
  <c r="C15" i="1"/>
  <c r="B15" i="1"/>
  <c r="E10" i="1"/>
  <c r="D10" i="1"/>
  <c r="D13" i="1" s="1"/>
  <c r="C10" i="1"/>
  <c r="B10" i="1"/>
  <c r="B7" i="1"/>
  <c r="B4" i="1"/>
  <c r="E3" i="1"/>
  <c r="C3" i="1"/>
  <c r="B3" i="1"/>
  <c r="E37" i="1" l="1"/>
  <c r="C13" i="1"/>
  <c r="B13" i="1"/>
  <c r="B37" i="1"/>
  <c r="E13" i="1"/>
  <c r="D37" i="1"/>
</calcChain>
</file>

<file path=xl/sharedStrings.xml><?xml version="1.0" encoding="utf-8"?>
<sst xmlns="http://schemas.openxmlformats.org/spreadsheetml/2006/main" count="180" uniqueCount="68">
  <si>
    <t>1 - DESPESAS COM PESSOAL</t>
  </si>
  <si>
    <t>Salários</t>
  </si>
  <si>
    <t>Férias</t>
  </si>
  <si>
    <t>13º Salário</t>
  </si>
  <si>
    <t>FGTS</t>
  </si>
  <si>
    <t>Contribuição e Mensalidade Sindical</t>
  </si>
  <si>
    <t>Cesta Básica</t>
  </si>
  <si>
    <t>Assistência Médica/Plano Odont.</t>
  </si>
  <si>
    <t>Seguro de Vida</t>
  </si>
  <si>
    <t>Total de Despesas com Pessoal</t>
  </si>
  <si>
    <t>2 - DESPESAS ADMINISTRATIVAS</t>
  </si>
  <si>
    <t>Estagiários + Nube</t>
  </si>
  <si>
    <t>Aluguel + Cond. + IPTU + Seguro</t>
  </si>
  <si>
    <t>Serviços Contábeis</t>
  </si>
  <si>
    <t>Cursos + Seminários</t>
  </si>
  <si>
    <t>Energia Elétrica</t>
  </si>
  <si>
    <t>Material de Copa e Limpeza</t>
  </si>
  <si>
    <t>Material de Escritório + Consumo+TI</t>
  </si>
  <si>
    <t>Reuniões + Seminários + Eventos</t>
  </si>
  <si>
    <t>Combustível</t>
  </si>
  <si>
    <t>Telefone + Correio + Internet</t>
  </si>
  <si>
    <t>Faixas + Banners + Cartazes</t>
  </si>
  <si>
    <t>Total de Despesas Administrativas</t>
  </si>
  <si>
    <t>3 - DESPESAS COM VIAGENS</t>
  </si>
  <si>
    <t>Passagem Aérea + Estadia</t>
  </si>
  <si>
    <t>Viagem Internacional</t>
  </si>
  <si>
    <t>Total de Despesas com Viagens</t>
  </si>
  <si>
    <t>4 - BENS E EQUIPAMENTOS</t>
  </si>
  <si>
    <t>Imobilizado</t>
  </si>
  <si>
    <t>Bens de Valores Irrelevantes</t>
  </si>
  <si>
    <t>Total de Bens e Equipamentos</t>
  </si>
  <si>
    <t>5 - DESPESAS ESPECÍFICAS DOS PROGRAMAS</t>
  </si>
  <si>
    <t>Desp. c/ Projetos / Consultorias  Previsão</t>
  </si>
  <si>
    <t>Total de Despesas Específicas dos Programas</t>
  </si>
  <si>
    <t>JANEIRO</t>
  </si>
  <si>
    <t>FEVEREIRO</t>
  </si>
  <si>
    <t>MARÇO</t>
  </si>
  <si>
    <t>ABRIL</t>
  </si>
  <si>
    <t>Receitas de Custeio</t>
  </si>
  <si>
    <t>Outras Receitas</t>
  </si>
  <si>
    <t>RECEITAS 1º QUADRIMESTRE 2025</t>
  </si>
  <si>
    <t>DESPESA 1º QUADRIMESTRE 2025</t>
  </si>
  <si>
    <t xml:space="preserve">INSS + IR + PIS </t>
  </si>
  <si>
    <t>Assinaturas Filiação em Entidades/Jornal</t>
  </si>
  <si>
    <t>Caixa Administrativo/desp diversas/cartão</t>
  </si>
  <si>
    <t xml:space="preserve">Despesas com TI </t>
  </si>
  <si>
    <t>IPVA + Documentação + Seguro / Manut. Locação Veic.</t>
  </si>
  <si>
    <t xml:space="preserve">Manutenção Hidráulica + Elétr. Geral </t>
  </si>
  <si>
    <t xml:space="preserve">Prestação Serv. Diversos </t>
  </si>
  <si>
    <t>Publicação Legal/Jornal</t>
  </si>
  <si>
    <t>Serviços Jurídicos Especiais + Auditória Externa</t>
  </si>
  <si>
    <t xml:space="preserve">Serviços de Limpeza e Jardim </t>
  </si>
  <si>
    <t>Seguro Escritorio</t>
  </si>
  <si>
    <t>Taxas+IOF+IR (Aplic. Finan.)/ Desp. Banco.Cofins, ICMS</t>
  </si>
  <si>
    <t>Refeições + Táxi + Outras+Diarias</t>
  </si>
  <si>
    <t xml:space="preserve">Prêmio </t>
  </si>
  <si>
    <t>MAIO</t>
  </si>
  <si>
    <t>JUNHO</t>
  </si>
  <si>
    <t>JULHO</t>
  </si>
  <si>
    <t>AGOSTO</t>
  </si>
  <si>
    <t>DESPESA 2º QUADRIMESTRE 2025</t>
  </si>
  <si>
    <t>DESPESA 3º QUADRIMESTRE 2025</t>
  </si>
  <si>
    <t>RECEITAS 2º QUADRIMESTRE 2025</t>
  </si>
  <si>
    <t>SETEMBRO</t>
  </si>
  <si>
    <t>OUTUBRO</t>
  </si>
  <si>
    <t>NOVEMBRO</t>
  </si>
  <si>
    <t>DEZEMBRO</t>
  </si>
  <si>
    <t>RECEITAS 3º QUADRIMESTRE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</si>
</sst>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2">
    <xf numFmtId="0" fontId="0" fillId="0" borderId="0" xfId="0"/>
    <xf numFmtId="4" fontId="1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4" fontId="2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right" vertical="center"/>
    </xf>
    <xf numFmtId="4" fontId="4" fillId="0" borderId="1" xfId="0" applyNumberFormat="1" applyFont="1" applyBorder="1"/>
    <xf numFmtId="4" fontId="4" fillId="0" borderId="2" xfId="0" applyNumberFormat="1" applyFont="1" applyBorder="1"/>
    <xf numFmtId="4" fontId="4" fillId="2" borderId="1" xfId="0" applyNumberFormat="1" applyFont="1" applyFill="1" applyBorder="1"/>
    <xf numFmtId="0" fontId="4" fillId="0" borderId="1" xfId="0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0" fontId="4" fillId="0" borderId="0" xfId="0" applyFont="1"/>
    <xf numFmtId="4" fontId="0" fillId="0" borderId="0" xfId="0" applyNumberFormat="1"/>
    <xf numFmtId="0" fontId="5" fillId="0" borderId="0" xfId="0" applyFont="1"/>
    <xf numFmtId="0" fontId="7" fillId="0" borderId="1" xfId="0" applyFont="1" applyBorder="1"/>
    <xf numFmtId="0" fontId="6" fillId="0" borderId="1" xfId="0" applyFont="1" applyBorder="1"/>
    <xf numFmtId="0" fontId="7" fillId="3" borderId="1" xfId="0" applyFont="1" applyFill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8" fillId="0" borderId="0" xfId="0" applyFont="1"/>
    <xf numFmtId="0" fontId="6" fillId="3" borderId="1" xfId="0" applyFont="1" applyFill="1" applyBorder="1"/>
    <xf numFmtId="0" fontId="8" fillId="0" borderId="8" xfId="0" applyFont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1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43" fontId="1" fillId="0" borderId="1" xfId="1" applyFont="1" applyBorder="1" applyAlignment="1">
      <alignment horizontal="right" vertical="center"/>
    </xf>
    <xf numFmtId="43" fontId="2" fillId="0" borderId="1" xfId="1" applyFont="1" applyBorder="1" applyAlignment="1">
      <alignment horizontal="right" vertical="center"/>
    </xf>
    <xf numFmtId="2" fontId="1" fillId="0" borderId="1" xfId="1" applyNumberFormat="1" applyFont="1" applyBorder="1" applyAlignment="1">
      <alignment horizontal="right" vertical="center"/>
    </xf>
    <xf numFmtId="43" fontId="4" fillId="0" borderId="1" xfId="1" applyFont="1" applyBorder="1"/>
    <xf numFmtId="2" fontId="4" fillId="0" borderId="1" xfId="1" applyNumberFormat="1" applyFont="1" applyBorder="1"/>
    <xf numFmtId="2" fontId="4" fillId="0" borderId="1" xfId="0" applyNumberFormat="1" applyFont="1" applyBorder="1"/>
    <xf numFmtId="4" fontId="5" fillId="0" borderId="1" xfId="0" applyNumberFormat="1" applyFont="1" applyBorder="1"/>
    <xf numFmtId="43" fontId="5" fillId="0" borderId="1" xfId="1" applyFont="1" applyBorder="1"/>
    <xf numFmtId="0" fontId="6" fillId="0" borderId="7" xfId="0" applyFont="1" applyBorder="1"/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3D89-CC29-4221-A139-942E6A12978C}">
  <dimension ref="A1:E53"/>
  <sheetViews>
    <sheetView tabSelected="1" zoomScaleNormal="100" workbookViewId="0">
      <selection activeCell="F14" sqref="F14"/>
    </sheetView>
  </sheetViews>
  <sheetFormatPr defaultRowHeight="14.4" x14ac:dyDescent="0.3"/>
  <cols>
    <col min="1" max="1" width="43.109375" customWidth="1"/>
    <col min="2" max="5" width="10.6640625" customWidth="1"/>
  </cols>
  <sheetData>
    <row r="1" spans="1:5" ht="15.6" x14ac:dyDescent="0.3">
      <c r="A1" s="39" t="s">
        <v>41</v>
      </c>
      <c r="B1" s="40"/>
      <c r="C1" s="40"/>
      <c r="D1" s="40"/>
      <c r="E1" s="41"/>
    </row>
    <row r="2" spans="1:5" x14ac:dyDescent="0.3">
      <c r="A2" s="24" t="s">
        <v>0</v>
      </c>
      <c r="B2" s="21" t="s">
        <v>34</v>
      </c>
      <c r="C2" s="21" t="s">
        <v>35</v>
      </c>
      <c r="D2" s="21" t="s">
        <v>36</v>
      </c>
      <c r="E2" s="21" t="s">
        <v>37</v>
      </c>
    </row>
    <row r="3" spans="1:5" x14ac:dyDescent="0.3">
      <c r="A3" s="2" t="s">
        <v>1</v>
      </c>
      <c r="B3" s="9">
        <f>42171+47228+1339</f>
        <v>90738</v>
      </c>
      <c r="C3" s="9">
        <f>451.31+37559+64835</f>
        <v>102845.31</v>
      </c>
      <c r="D3" s="9">
        <v>110732</v>
      </c>
      <c r="E3" s="9">
        <f>48765+59548</f>
        <v>108313</v>
      </c>
    </row>
    <row r="4" spans="1:5" x14ac:dyDescent="0.3">
      <c r="A4" s="2" t="s">
        <v>2</v>
      </c>
      <c r="B4" s="9">
        <f>15172+2000</f>
        <v>17172</v>
      </c>
      <c r="C4" s="9">
        <v>0</v>
      </c>
      <c r="D4" s="9">
        <v>0</v>
      </c>
      <c r="E4" s="9">
        <v>16208</v>
      </c>
    </row>
    <row r="5" spans="1:5" x14ac:dyDescent="0.3">
      <c r="A5" s="2" t="s">
        <v>3</v>
      </c>
      <c r="B5" s="9">
        <v>0</v>
      </c>
      <c r="C5" s="9">
        <v>0</v>
      </c>
      <c r="D5" s="9">
        <v>0</v>
      </c>
      <c r="E5" s="10">
        <v>0</v>
      </c>
    </row>
    <row r="6" spans="1:5" ht="15.75" customHeight="1" x14ac:dyDescent="0.3">
      <c r="A6" s="2" t="s">
        <v>42</v>
      </c>
      <c r="B6" s="9">
        <v>90482.41</v>
      </c>
      <c r="C6" s="9">
        <v>70690.59</v>
      </c>
      <c r="D6" s="9">
        <v>84603.4</v>
      </c>
      <c r="E6" s="9">
        <v>81095.8</v>
      </c>
    </row>
    <row r="7" spans="1:5" x14ac:dyDescent="0.3">
      <c r="A7" s="2" t="s">
        <v>4</v>
      </c>
      <c r="B7" s="9">
        <f>10640.61+2176.02</f>
        <v>12816.630000000001</v>
      </c>
      <c r="C7" s="9">
        <v>10794.52</v>
      </c>
      <c r="D7" s="9">
        <v>12753.41</v>
      </c>
      <c r="E7" s="9">
        <v>12224.24</v>
      </c>
    </row>
    <row r="8" spans="1:5" x14ac:dyDescent="0.3">
      <c r="A8" s="2" t="s">
        <v>5</v>
      </c>
      <c r="B8" s="9">
        <v>494.15</v>
      </c>
      <c r="C8" s="9">
        <v>485.4</v>
      </c>
      <c r="D8" s="9">
        <v>707.19</v>
      </c>
      <c r="E8" s="9">
        <v>709.29</v>
      </c>
    </row>
    <row r="9" spans="1:5" x14ac:dyDescent="0.3">
      <c r="A9" s="2" t="s">
        <v>6</v>
      </c>
      <c r="B9" s="9">
        <v>13025.09</v>
      </c>
      <c r="C9" s="9">
        <v>12604.93</v>
      </c>
      <c r="D9" s="9">
        <v>14117.61</v>
      </c>
      <c r="E9" s="9">
        <v>15271.35</v>
      </c>
    </row>
    <row r="10" spans="1:5" x14ac:dyDescent="0.3">
      <c r="A10" s="2" t="s">
        <v>7</v>
      </c>
      <c r="B10" s="11">
        <f>19951.14-937.3</f>
        <v>19013.84</v>
      </c>
      <c r="C10" s="9">
        <f>16016.27-937.3</f>
        <v>15078.970000000001</v>
      </c>
      <c r="D10" s="9">
        <f>18466.74-1051.36</f>
        <v>17415.38</v>
      </c>
      <c r="E10" s="9">
        <f>18208.2-1051.36</f>
        <v>17156.84</v>
      </c>
    </row>
    <row r="11" spans="1:5" x14ac:dyDescent="0.3">
      <c r="A11" s="2" t="s">
        <v>55</v>
      </c>
      <c r="B11" s="11">
        <v>7623.55</v>
      </c>
      <c r="C11" s="9">
        <v>4117.92</v>
      </c>
      <c r="D11" s="9">
        <v>0</v>
      </c>
      <c r="E11" s="9">
        <v>13711.88</v>
      </c>
    </row>
    <row r="12" spans="1:5" x14ac:dyDescent="0.3">
      <c r="A12" s="2" t="s">
        <v>8</v>
      </c>
      <c r="B12" s="9">
        <v>0</v>
      </c>
      <c r="C12" s="9">
        <v>0</v>
      </c>
      <c r="D12" s="9">
        <v>0</v>
      </c>
      <c r="E12" s="9">
        <v>0</v>
      </c>
    </row>
    <row r="13" spans="1:5" x14ac:dyDescent="0.3">
      <c r="A13" s="18" t="s">
        <v>9</v>
      </c>
      <c r="B13" s="1">
        <f t="shared" ref="B13:E13" si="0">SUM(B3:B12)</f>
        <v>251365.66999999998</v>
      </c>
      <c r="C13" s="1">
        <f t="shared" si="0"/>
        <v>216617.63999999998</v>
      </c>
      <c r="D13" s="1">
        <f t="shared" si="0"/>
        <v>240328.99</v>
      </c>
      <c r="E13" s="1">
        <f t="shared" si="0"/>
        <v>264690.39999999997</v>
      </c>
    </row>
    <row r="14" spans="1:5" x14ac:dyDescent="0.3">
      <c r="A14" s="24" t="s">
        <v>10</v>
      </c>
      <c r="B14" s="12"/>
      <c r="C14" s="12"/>
      <c r="D14" s="12"/>
      <c r="E14" s="12"/>
    </row>
    <row r="15" spans="1:5" x14ac:dyDescent="0.3">
      <c r="A15" s="3" t="s">
        <v>43</v>
      </c>
      <c r="B15" s="13">
        <f>49.9+2893</f>
        <v>2942.9</v>
      </c>
      <c r="C15" s="9">
        <f>463.9+18284.99-485.4</f>
        <v>18263.490000000002</v>
      </c>
      <c r="D15" s="9">
        <f>49.9</f>
        <v>49.9</v>
      </c>
      <c r="E15" s="9">
        <v>55.9</v>
      </c>
    </row>
    <row r="16" spans="1:5" x14ac:dyDescent="0.3">
      <c r="A16" s="2" t="s">
        <v>12</v>
      </c>
      <c r="B16" s="13">
        <f>25557.61-1300</f>
        <v>24257.61</v>
      </c>
      <c r="C16" s="9">
        <v>18741.53</v>
      </c>
      <c r="D16" s="9">
        <v>18960.88</v>
      </c>
      <c r="E16" s="9">
        <v>18085.8</v>
      </c>
    </row>
    <row r="17" spans="1:5" x14ac:dyDescent="0.3">
      <c r="A17" s="3" t="s">
        <v>14</v>
      </c>
      <c r="B17" s="13">
        <v>0</v>
      </c>
      <c r="C17" s="9">
        <v>0</v>
      </c>
      <c r="D17" s="9">
        <v>1653.4</v>
      </c>
      <c r="E17" s="9">
        <f>7100-142</f>
        <v>6958</v>
      </c>
    </row>
    <row r="18" spans="1:5" x14ac:dyDescent="0.3">
      <c r="A18" s="3" t="s">
        <v>44</v>
      </c>
      <c r="B18" s="13">
        <f>1000+580+1024.49+1189.2</f>
        <v>3793.6899999999996</v>
      </c>
      <c r="C18" s="9">
        <f>2500+1402.09</f>
        <v>3902.09</v>
      </c>
      <c r="D18" s="9">
        <f>1000+1429.75</f>
        <v>2429.75</v>
      </c>
      <c r="E18" s="9">
        <f>2000+1364.13+76.09</f>
        <v>3440.2200000000003</v>
      </c>
    </row>
    <row r="19" spans="1:5" x14ac:dyDescent="0.3">
      <c r="A19" s="3" t="s">
        <v>19</v>
      </c>
      <c r="B19" s="13">
        <v>1089.04</v>
      </c>
      <c r="C19" s="9">
        <v>1071.52</v>
      </c>
      <c r="D19" s="9">
        <f>477.06+624.38</f>
        <v>1101.44</v>
      </c>
      <c r="E19" s="9">
        <v>1998.53</v>
      </c>
    </row>
    <row r="20" spans="1:5" x14ac:dyDescent="0.3">
      <c r="A20" s="3" t="s">
        <v>45</v>
      </c>
      <c r="B20" s="13">
        <f>2820.82+4728.25+1187.46</f>
        <v>8736.5299999999988</v>
      </c>
      <c r="C20" s="9">
        <f>2820.82+1187.46</f>
        <v>4008.28</v>
      </c>
      <c r="D20" s="9">
        <f>1187.46+2894.16</f>
        <v>4081.62</v>
      </c>
      <c r="E20" s="9">
        <f>2820.82+1187.46</f>
        <v>4008.28</v>
      </c>
    </row>
    <row r="21" spans="1:5" x14ac:dyDescent="0.3">
      <c r="A21" s="2" t="s">
        <v>11</v>
      </c>
      <c r="B21" s="13">
        <v>5103.22</v>
      </c>
      <c r="C21" s="9">
        <v>6099.32</v>
      </c>
      <c r="D21" s="9">
        <v>8517.33</v>
      </c>
      <c r="E21" s="9">
        <v>8665.4</v>
      </c>
    </row>
    <row r="22" spans="1:5" x14ac:dyDescent="0.3">
      <c r="A22" s="3" t="s">
        <v>15</v>
      </c>
      <c r="B22" s="5">
        <v>2727.68</v>
      </c>
      <c r="C22" s="6">
        <v>3211.18</v>
      </c>
      <c r="D22" s="6">
        <v>3264.39</v>
      </c>
      <c r="E22" s="6">
        <v>5148.6499999999996</v>
      </c>
    </row>
    <row r="23" spans="1:5" x14ac:dyDescent="0.3">
      <c r="A23" s="3" t="s">
        <v>21</v>
      </c>
      <c r="B23" s="13">
        <v>0</v>
      </c>
      <c r="C23" s="9">
        <v>1060</v>
      </c>
      <c r="D23" s="9">
        <v>310</v>
      </c>
      <c r="E23" s="9">
        <v>331.9</v>
      </c>
    </row>
    <row r="24" spans="1:5" x14ac:dyDescent="0.3">
      <c r="A24" s="3" t="s">
        <v>46</v>
      </c>
      <c r="B24" s="13">
        <f>195+866.67+1200+17460.29</f>
        <v>19721.96</v>
      </c>
      <c r="C24" s="9">
        <v>866.66</v>
      </c>
      <c r="D24" s="9">
        <v>130</v>
      </c>
      <c r="E24" s="9">
        <f>440+2679.5</f>
        <v>3119.5</v>
      </c>
    </row>
    <row r="25" spans="1:5" x14ac:dyDescent="0.3">
      <c r="A25" s="3" t="s">
        <v>47</v>
      </c>
      <c r="B25" s="13">
        <f>487.9+170</f>
        <v>657.9</v>
      </c>
      <c r="C25" s="9">
        <v>2850</v>
      </c>
      <c r="D25" s="9">
        <f>2359+280</f>
        <v>2639</v>
      </c>
      <c r="E25" s="9">
        <f>1778+2202.78+246.32</f>
        <v>4227.1000000000004</v>
      </c>
    </row>
    <row r="26" spans="1:5" x14ac:dyDescent="0.3">
      <c r="A26" s="3" t="s">
        <v>17</v>
      </c>
      <c r="B26" s="14">
        <v>64.900000000000006</v>
      </c>
      <c r="C26" s="9">
        <f>180+148.5+843</f>
        <v>1171.5</v>
      </c>
      <c r="D26" s="9">
        <f>92.32+60.9+168</f>
        <v>321.22000000000003</v>
      </c>
      <c r="E26" s="9">
        <v>4275.8500000000004</v>
      </c>
    </row>
    <row r="27" spans="1:5" x14ac:dyDescent="0.3">
      <c r="A27" s="3" t="s">
        <v>16</v>
      </c>
      <c r="B27" s="13">
        <v>0</v>
      </c>
      <c r="C27" s="9">
        <f>535</f>
        <v>535</v>
      </c>
      <c r="D27" s="9">
        <v>287.10000000000002</v>
      </c>
      <c r="E27" s="9">
        <f>327.8</f>
        <v>327.8</v>
      </c>
    </row>
    <row r="28" spans="1:5" x14ac:dyDescent="0.3">
      <c r="A28" s="2" t="s">
        <v>48</v>
      </c>
      <c r="B28" s="13">
        <f>434+6738-6738+51.45+526</f>
        <v>1011.45</v>
      </c>
      <c r="C28" s="9">
        <f>434+6191.51</f>
        <v>6625.51</v>
      </c>
      <c r="D28" s="9">
        <f>4500+1000+434+2738.7</f>
        <v>8672.7000000000007</v>
      </c>
      <c r="E28" s="9">
        <f>4500+1313.9+137.01+415+526</f>
        <v>6891.91</v>
      </c>
    </row>
    <row r="29" spans="1:5" x14ac:dyDescent="0.3">
      <c r="A29" s="3" t="s">
        <v>49</v>
      </c>
      <c r="B29" s="13">
        <v>2451</v>
      </c>
      <c r="C29" s="9">
        <v>857.85</v>
      </c>
      <c r="D29" s="9">
        <v>735.3</v>
      </c>
      <c r="E29" s="9">
        <v>735.3</v>
      </c>
    </row>
    <row r="30" spans="1:5" x14ac:dyDescent="0.3">
      <c r="A30" s="3" t="s">
        <v>18</v>
      </c>
      <c r="B30" s="13">
        <v>6738</v>
      </c>
      <c r="C30" s="9">
        <v>15816.49</v>
      </c>
      <c r="D30" s="9">
        <v>1409.5</v>
      </c>
      <c r="E30" s="9">
        <v>310.61</v>
      </c>
    </row>
    <row r="31" spans="1:5" x14ac:dyDescent="0.3">
      <c r="A31" s="2" t="s">
        <v>13</v>
      </c>
      <c r="B31" s="13">
        <v>4941.5</v>
      </c>
      <c r="C31" s="9">
        <v>4911.5</v>
      </c>
      <c r="D31" s="9">
        <v>4975.75</v>
      </c>
      <c r="E31" s="9">
        <v>4911.5</v>
      </c>
    </row>
    <row r="32" spans="1:5" x14ac:dyDescent="0.3">
      <c r="A32" s="2" t="s">
        <v>50</v>
      </c>
      <c r="B32" s="13">
        <v>1470.31</v>
      </c>
      <c r="C32" s="9">
        <v>1470.31</v>
      </c>
      <c r="D32" s="9">
        <v>1470.31</v>
      </c>
      <c r="E32" s="9">
        <v>1470.31</v>
      </c>
    </row>
    <row r="33" spans="1:5" x14ac:dyDescent="0.3">
      <c r="A33" s="3" t="s">
        <v>51</v>
      </c>
      <c r="B33" s="13">
        <f>1497.8+4525.25+238.17+205.74+205.74+86.4+3528.67+3528.67-3528.67</f>
        <v>10287.77</v>
      </c>
      <c r="C33" s="9">
        <f>1498.07+86.13+238.17+209.33+209.33+3528</f>
        <v>5769.03</v>
      </c>
      <c r="D33" s="9">
        <f>1562.39+210+210+89.45+238.17+3528</f>
        <v>5838.01</v>
      </c>
      <c r="E33" s="9">
        <f>1562.39+238.17+210+210+89.453528+4525.25</f>
        <v>6835.2635280000004</v>
      </c>
    </row>
    <row r="34" spans="1:5" x14ac:dyDescent="0.3">
      <c r="A34" s="3" t="s">
        <v>52</v>
      </c>
      <c r="B34" s="13">
        <v>0</v>
      </c>
      <c r="C34" s="9">
        <v>0</v>
      </c>
      <c r="D34" s="9">
        <v>0</v>
      </c>
      <c r="E34" s="9">
        <v>0</v>
      </c>
    </row>
    <row r="35" spans="1:5" x14ac:dyDescent="0.3">
      <c r="A35" s="3" t="s">
        <v>20</v>
      </c>
      <c r="B35" s="5">
        <f>6977.99+37.84</f>
        <v>7015.83</v>
      </c>
      <c r="C35" s="6">
        <v>3708.77</v>
      </c>
      <c r="D35" s="6">
        <f>4174.54+1890.71-90.61</f>
        <v>5974.64</v>
      </c>
      <c r="E35" s="6">
        <f>1633.07+50+50+400+1249</f>
        <v>3382.0699999999997</v>
      </c>
    </row>
    <row r="36" spans="1:5" x14ac:dyDescent="0.3">
      <c r="A36" s="4" t="s">
        <v>53</v>
      </c>
      <c r="B36" s="14">
        <f>1776.2+407.33+3834.06</f>
        <v>6017.59</v>
      </c>
      <c r="C36" s="9">
        <f>3606.4+2595.42+3998.91+4.11</f>
        <v>10204.84</v>
      </c>
      <c r="D36" s="9">
        <f>259.45+2980.56+4024.88</f>
        <v>7264.8899999999994</v>
      </c>
      <c r="E36" s="9">
        <f>2320.1+2004.44+12.95</f>
        <v>4337.49</v>
      </c>
    </row>
    <row r="37" spans="1:5" x14ac:dyDescent="0.3">
      <c r="A37" s="18" t="s">
        <v>22</v>
      </c>
      <c r="B37" s="22">
        <f>SUM(B15:B36)</f>
        <v>109028.87999999999</v>
      </c>
      <c r="C37" s="22">
        <f>SUM(C15:C36)</f>
        <v>111144.87000000001</v>
      </c>
      <c r="D37" s="22">
        <f>SUM(D15:D36)</f>
        <v>80087.12999999999</v>
      </c>
      <c r="E37" s="22">
        <f>SUM(E15:E36)</f>
        <v>89517.38352800002</v>
      </c>
    </row>
    <row r="38" spans="1:5" x14ac:dyDescent="0.3">
      <c r="A38" s="24" t="s">
        <v>23</v>
      </c>
      <c r="B38" s="12"/>
      <c r="C38" s="12"/>
      <c r="D38" s="12"/>
      <c r="E38" s="12"/>
    </row>
    <row r="39" spans="1:5" x14ac:dyDescent="0.3">
      <c r="A39" s="7" t="s">
        <v>24</v>
      </c>
      <c r="B39" s="9">
        <v>982.27</v>
      </c>
      <c r="C39" s="9">
        <v>3597.84</v>
      </c>
      <c r="D39" s="9">
        <v>2863.07</v>
      </c>
      <c r="E39" s="9">
        <v>14733.54</v>
      </c>
    </row>
    <row r="40" spans="1:5" x14ac:dyDescent="0.3">
      <c r="A40" s="7" t="s">
        <v>54</v>
      </c>
      <c r="B40" s="9">
        <f>840+5692.56-302.71-2408.81</f>
        <v>3821.0400000000004</v>
      </c>
      <c r="C40" s="11">
        <f>5980.03-1760.1</f>
        <v>4219.93</v>
      </c>
      <c r="D40" s="11">
        <f>6295.37-865.23</f>
        <v>5430.1399999999994</v>
      </c>
      <c r="E40" s="11">
        <f>14247.13-195-1184.46</f>
        <v>12867.669999999998</v>
      </c>
    </row>
    <row r="41" spans="1:5" x14ac:dyDescent="0.3">
      <c r="A41" s="7" t="s">
        <v>25</v>
      </c>
      <c r="B41" s="9">
        <v>0</v>
      </c>
      <c r="C41" s="9">
        <v>0</v>
      </c>
      <c r="D41" s="9">
        <v>0</v>
      </c>
      <c r="E41" s="9">
        <v>0</v>
      </c>
    </row>
    <row r="42" spans="1:5" x14ac:dyDescent="0.3">
      <c r="A42" s="18" t="s">
        <v>26</v>
      </c>
      <c r="B42" s="1">
        <f t="shared" ref="B42:E42" si="1">SUM(B39:B41)</f>
        <v>4803.3100000000004</v>
      </c>
      <c r="C42" s="1">
        <f t="shared" si="1"/>
        <v>7817.77</v>
      </c>
      <c r="D42" s="1">
        <f t="shared" si="1"/>
        <v>8293.2099999999991</v>
      </c>
      <c r="E42" s="1">
        <f t="shared" si="1"/>
        <v>27601.21</v>
      </c>
    </row>
    <row r="43" spans="1:5" x14ac:dyDescent="0.3">
      <c r="A43" s="24" t="s">
        <v>27</v>
      </c>
      <c r="B43" s="12"/>
      <c r="C43" s="12"/>
      <c r="D43" s="12"/>
      <c r="E43" s="12"/>
    </row>
    <row r="44" spans="1:5" x14ac:dyDescent="0.3">
      <c r="A44" s="7" t="s">
        <v>28</v>
      </c>
      <c r="B44" s="13">
        <v>0</v>
      </c>
      <c r="C44" s="9">
        <v>0</v>
      </c>
      <c r="D44" s="9">
        <v>2730</v>
      </c>
      <c r="E44" s="9">
        <v>0</v>
      </c>
    </row>
    <row r="45" spans="1:5" x14ac:dyDescent="0.3">
      <c r="A45" s="7" t="s">
        <v>29</v>
      </c>
      <c r="B45" s="13">
        <v>1760.2</v>
      </c>
      <c r="C45" s="9">
        <v>2343.02</v>
      </c>
      <c r="D45" s="9">
        <v>0</v>
      </c>
      <c r="E45" s="9">
        <v>5496</v>
      </c>
    </row>
    <row r="46" spans="1:5" x14ac:dyDescent="0.3">
      <c r="A46" s="18" t="s">
        <v>30</v>
      </c>
      <c r="B46" s="1">
        <f t="shared" ref="B46:E46" si="2">SUM(B44:B45)</f>
        <v>1760.2</v>
      </c>
      <c r="C46" s="1">
        <f t="shared" si="2"/>
        <v>2343.02</v>
      </c>
      <c r="D46" s="1">
        <f t="shared" si="2"/>
        <v>2730</v>
      </c>
      <c r="E46" s="1">
        <f t="shared" si="2"/>
        <v>5496</v>
      </c>
    </row>
    <row r="47" spans="1:5" x14ac:dyDescent="0.3">
      <c r="A47" s="20" t="s">
        <v>31</v>
      </c>
      <c r="B47" s="12"/>
      <c r="C47" s="12"/>
      <c r="D47" s="12"/>
      <c r="E47" s="12"/>
    </row>
    <row r="48" spans="1:5" x14ac:dyDescent="0.3">
      <c r="A48" s="12" t="s">
        <v>32</v>
      </c>
      <c r="B48" s="13">
        <v>0</v>
      </c>
      <c r="C48" s="9">
        <v>0</v>
      </c>
      <c r="D48" s="9">
        <v>0</v>
      </c>
      <c r="E48" s="9">
        <v>0</v>
      </c>
    </row>
    <row r="49" spans="1:5" x14ac:dyDescent="0.3">
      <c r="A49" s="18" t="s">
        <v>33</v>
      </c>
      <c r="B49" s="8">
        <f>B48</f>
        <v>0</v>
      </c>
      <c r="C49" s="8">
        <f t="shared" ref="C49:E49" si="3">C48</f>
        <v>0</v>
      </c>
      <c r="D49" s="8">
        <f t="shared" si="3"/>
        <v>0</v>
      </c>
      <c r="E49" s="8">
        <f t="shared" si="3"/>
        <v>0</v>
      </c>
    </row>
    <row r="50" spans="1:5" x14ac:dyDescent="0.3">
      <c r="A50" s="17"/>
      <c r="B50" s="15"/>
      <c r="C50" s="15"/>
      <c r="D50" s="15"/>
      <c r="E50" s="15"/>
    </row>
    <row r="51" spans="1:5" ht="15.6" x14ac:dyDescent="0.3">
      <c r="A51" s="23" t="s">
        <v>40</v>
      </c>
      <c r="B51" s="21" t="s">
        <v>34</v>
      </c>
      <c r="C51" s="21" t="s">
        <v>35</v>
      </c>
      <c r="D51" s="21" t="s">
        <v>36</v>
      </c>
      <c r="E51" s="21" t="s">
        <v>37</v>
      </c>
    </row>
    <row r="52" spans="1:5" x14ac:dyDescent="0.3">
      <c r="A52" s="19" t="s">
        <v>38</v>
      </c>
      <c r="B52" s="9">
        <f>443303.48+95376</f>
        <v>538679.48</v>
      </c>
      <c r="C52" s="9">
        <f>760267.16+119896</f>
        <v>880163.16</v>
      </c>
      <c r="D52" s="9">
        <f>218544.64+165540</f>
        <v>384084.64</v>
      </c>
      <c r="E52" s="9">
        <f>214697.46+95611.4</f>
        <v>310308.86</v>
      </c>
    </row>
    <row r="53" spans="1:5" x14ac:dyDescent="0.3">
      <c r="A53" s="19" t="s">
        <v>39</v>
      </c>
      <c r="B53" s="9">
        <v>25154.82</v>
      </c>
      <c r="C53" s="9">
        <f>25884.04+7277.34</f>
        <v>33161.380000000005</v>
      </c>
      <c r="D53" s="9">
        <f>27283.84+9244.51</f>
        <v>36528.35</v>
      </c>
      <c r="E53" s="9">
        <f>7140.06+6810.68</f>
        <v>13950.740000000002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D8A83-A88D-4A8C-9CB7-E138F31C4ACF}">
  <sheetPr>
    <pageSetUpPr fitToPage="1"/>
  </sheetPr>
  <dimension ref="A1:E56"/>
  <sheetViews>
    <sheetView topLeftCell="A27" zoomScaleNormal="100" workbookViewId="0">
      <selection activeCell="H51" sqref="H51"/>
    </sheetView>
  </sheetViews>
  <sheetFormatPr defaultRowHeight="14.4" x14ac:dyDescent="0.3"/>
  <cols>
    <col min="1" max="1" width="43.109375" customWidth="1"/>
    <col min="2" max="2" width="12.44140625" customWidth="1"/>
    <col min="3" max="3" width="9.88671875" customWidth="1"/>
    <col min="4" max="4" width="10" customWidth="1"/>
    <col min="5" max="5" width="11" customWidth="1"/>
  </cols>
  <sheetData>
    <row r="1" spans="1:5" ht="15.6" x14ac:dyDescent="0.3">
      <c r="A1" s="23" t="s">
        <v>60</v>
      </c>
      <c r="B1" s="17"/>
      <c r="C1" s="17"/>
      <c r="D1" s="17"/>
      <c r="E1" s="17"/>
    </row>
    <row r="2" spans="1:5" x14ac:dyDescent="0.3">
      <c r="A2" s="24" t="s">
        <v>0</v>
      </c>
      <c r="B2" s="21" t="s">
        <v>56</v>
      </c>
      <c r="C2" s="21" t="s">
        <v>57</v>
      </c>
      <c r="D2" s="21" t="s">
        <v>58</v>
      </c>
      <c r="E2" s="21" t="s">
        <v>59</v>
      </c>
    </row>
    <row r="3" spans="1:5" x14ac:dyDescent="0.3">
      <c r="A3" s="2" t="s">
        <v>1</v>
      </c>
      <c r="B3" s="9">
        <v>103398</v>
      </c>
      <c r="C3" s="9">
        <f>45764+54339</f>
        <v>100103</v>
      </c>
      <c r="D3" s="9">
        <v>95160</v>
      </c>
      <c r="E3" s="9">
        <v>99476</v>
      </c>
    </row>
    <row r="4" spans="1:5" x14ac:dyDescent="0.3">
      <c r="A4" s="2" t="s">
        <v>2</v>
      </c>
      <c r="B4" s="9">
        <v>37695</v>
      </c>
      <c r="C4" s="9">
        <v>0</v>
      </c>
      <c r="D4" s="9">
        <v>36320</v>
      </c>
      <c r="E4" s="9">
        <v>0</v>
      </c>
    </row>
    <row r="5" spans="1:5" x14ac:dyDescent="0.3">
      <c r="A5" s="2" t="s">
        <v>3</v>
      </c>
      <c r="B5" s="9">
        <v>0</v>
      </c>
      <c r="C5" s="9">
        <v>0</v>
      </c>
      <c r="D5" s="9">
        <v>0</v>
      </c>
      <c r="E5" s="9">
        <v>0</v>
      </c>
    </row>
    <row r="6" spans="1:5" ht="15.75" customHeight="1" x14ac:dyDescent="0.3">
      <c r="A6" s="2" t="s">
        <v>42</v>
      </c>
      <c r="B6" s="9">
        <v>82929.37</v>
      </c>
      <c r="C6" s="9">
        <v>84886.9</v>
      </c>
      <c r="D6" s="9">
        <v>78258.11</v>
      </c>
      <c r="E6" s="9">
        <v>86582.35</v>
      </c>
    </row>
    <row r="7" spans="1:5" x14ac:dyDescent="0.3">
      <c r="A7" s="2" t="s">
        <v>4</v>
      </c>
      <c r="B7" s="9">
        <v>12329.65</v>
      </c>
      <c r="C7" s="9">
        <v>13463.45</v>
      </c>
      <c r="D7" s="9">
        <v>12706.31</v>
      </c>
      <c r="E7" s="9">
        <v>12930.06</v>
      </c>
    </row>
    <row r="8" spans="1:5" x14ac:dyDescent="0.3">
      <c r="A8" s="2" t="s">
        <v>5</v>
      </c>
      <c r="B8" s="9">
        <v>0</v>
      </c>
      <c r="C8" s="9">
        <v>709.29</v>
      </c>
      <c r="D8" s="9">
        <v>709.29</v>
      </c>
      <c r="E8" s="9">
        <v>702.52</v>
      </c>
    </row>
    <row r="9" spans="1:5" x14ac:dyDescent="0.3">
      <c r="A9" s="2" t="s">
        <v>6</v>
      </c>
      <c r="B9" s="9">
        <v>14253.26</v>
      </c>
      <c r="C9" s="9">
        <v>14253.26</v>
      </c>
      <c r="D9" s="9">
        <v>14253.26</v>
      </c>
      <c r="E9" s="9">
        <v>13744.21</v>
      </c>
    </row>
    <row r="10" spans="1:5" x14ac:dyDescent="0.3">
      <c r="A10" s="2" t="s">
        <v>7</v>
      </c>
      <c r="B10" s="9">
        <f>17610.2+598-1051.36</f>
        <v>17156.84</v>
      </c>
      <c r="C10" s="9">
        <f>18208.2-1051.36</f>
        <v>17156.84</v>
      </c>
      <c r="D10" s="9">
        <f>18208.2-1051.36</f>
        <v>17156.84</v>
      </c>
      <c r="E10" s="9">
        <f>17398.26-1051.36</f>
        <v>16346.899999999998</v>
      </c>
    </row>
    <row r="11" spans="1:5" x14ac:dyDescent="0.3">
      <c r="A11" s="2" t="s">
        <v>55</v>
      </c>
      <c r="B11" s="9">
        <v>0</v>
      </c>
      <c r="C11" s="9">
        <f>1185.4+118.54+118.54+118.54</f>
        <v>1541.02</v>
      </c>
      <c r="D11" s="9">
        <v>0</v>
      </c>
      <c r="E11" s="9">
        <v>0</v>
      </c>
    </row>
    <row r="12" spans="1:5" x14ac:dyDescent="0.3">
      <c r="A12" s="2" t="s">
        <v>8</v>
      </c>
      <c r="B12" s="9">
        <v>1857.12</v>
      </c>
      <c r="C12" s="9">
        <v>0</v>
      </c>
      <c r="D12" s="9">
        <v>0</v>
      </c>
      <c r="E12" s="9">
        <v>0</v>
      </c>
    </row>
    <row r="13" spans="1:5" x14ac:dyDescent="0.3">
      <c r="A13" s="18" t="s">
        <v>9</v>
      </c>
      <c r="B13" s="1">
        <f t="shared" ref="B13:E13" si="0">SUM(B3:B12)</f>
        <v>269619.24</v>
      </c>
      <c r="C13" s="1">
        <f t="shared" si="0"/>
        <v>232113.76</v>
      </c>
      <c r="D13" s="1">
        <f t="shared" si="0"/>
        <v>254563.81</v>
      </c>
      <c r="E13" s="1">
        <f t="shared" si="0"/>
        <v>229782.03999999998</v>
      </c>
    </row>
    <row r="14" spans="1:5" x14ac:dyDescent="0.3">
      <c r="A14" s="24" t="s">
        <v>10</v>
      </c>
      <c r="B14" s="12"/>
      <c r="C14" s="12"/>
      <c r="D14" s="12"/>
      <c r="E14" s="12"/>
    </row>
    <row r="15" spans="1:5" x14ac:dyDescent="0.3">
      <c r="A15" s="3" t="s">
        <v>43</v>
      </c>
      <c r="B15" s="9">
        <v>55.9</v>
      </c>
      <c r="C15" s="9">
        <v>55.9</v>
      </c>
      <c r="D15" s="9">
        <v>55.9</v>
      </c>
      <c r="E15" s="9">
        <v>55.9</v>
      </c>
    </row>
    <row r="16" spans="1:5" x14ac:dyDescent="0.3">
      <c r="A16" s="2" t="s">
        <v>12</v>
      </c>
      <c r="B16" s="9">
        <f>16459.06+1495.33</f>
        <v>17954.39</v>
      </c>
      <c r="C16" s="9">
        <f>18905.8</f>
        <v>18905.8</v>
      </c>
      <c r="D16" s="9">
        <v>23106.080000000002</v>
      </c>
      <c r="E16" s="9">
        <f>16075.64+1055+1495.33+1215.01</f>
        <v>19840.98</v>
      </c>
    </row>
    <row r="17" spans="1:5" x14ac:dyDescent="0.3">
      <c r="A17" s="3" t="s">
        <v>14</v>
      </c>
      <c r="B17" s="9">
        <v>0</v>
      </c>
      <c r="C17" s="9">
        <v>0</v>
      </c>
      <c r="D17" s="9">
        <v>3270.67</v>
      </c>
      <c r="E17" s="9">
        <v>0</v>
      </c>
    </row>
    <row r="18" spans="1:5" x14ac:dyDescent="0.3">
      <c r="A18" s="3" t="s">
        <v>44</v>
      </c>
      <c r="B18" s="9">
        <f>500+1532.94</f>
        <v>2032.94</v>
      </c>
      <c r="C18" s="9">
        <f>500+1494.51</f>
        <v>1994.51</v>
      </c>
      <c r="D18" s="9">
        <f>500+1276.5+500</f>
        <v>2276.5</v>
      </c>
      <c r="E18" s="9">
        <f>2000+2351.58</f>
        <v>4351.58</v>
      </c>
    </row>
    <row r="19" spans="1:5" x14ac:dyDescent="0.3">
      <c r="A19" s="3" t="s">
        <v>19</v>
      </c>
      <c r="B19" s="9">
        <f>459.38+387.14</f>
        <v>846.52</v>
      </c>
      <c r="C19" s="9">
        <v>1678.67</v>
      </c>
      <c r="D19" s="9">
        <v>753.37</v>
      </c>
      <c r="E19" s="9">
        <v>2393.31</v>
      </c>
    </row>
    <row r="20" spans="1:5" x14ac:dyDescent="0.3">
      <c r="A20" s="3" t="s">
        <v>45</v>
      </c>
      <c r="B20" s="9">
        <f>2820.82+1187.46</f>
        <v>4008.28</v>
      </c>
      <c r="C20" s="9">
        <f>2820.82+1187.46</f>
        <v>4008.28</v>
      </c>
      <c r="D20" s="9">
        <f>2820.82+1187.46</f>
        <v>4008.28</v>
      </c>
      <c r="E20" s="9">
        <f>2820.82+284.56+1187.46</f>
        <v>4292.84</v>
      </c>
    </row>
    <row r="21" spans="1:5" x14ac:dyDescent="0.3">
      <c r="A21" s="2" t="s">
        <v>11</v>
      </c>
      <c r="B21" s="9">
        <f>630.29+8617</f>
        <v>9247.2900000000009</v>
      </c>
      <c r="C21" s="9">
        <f>10512.29+2116</f>
        <v>12628.29</v>
      </c>
      <c r="D21" s="9">
        <v>8792.49</v>
      </c>
      <c r="E21" s="9">
        <f>7265.79+630.29</f>
        <v>7896.08</v>
      </c>
    </row>
    <row r="22" spans="1:5" x14ac:dyDescent="0.3">
      <c r="A22" s="3" t="s">
        <v>15</v>
      </c>
      <c r="B22" s="1">
        <v>3314.77</v>
      </c>
      <c r="C22" s="1">
        <v>2729.16</v>
      </c>
      <c r="D22" s="6">
        <v>2044.88</v>
      </c>
      <c r="E22" s="6">
        <v>2269.0700000000002</v>
      </c>
    </row>
    <row r="23" spans="1:5" x14ac:dyDescent="0.3">
      <c r="A23" s="3" t="s">
        <v>21</v>
      </c>
      <c r="B23" s="9">
        <v>0</v>
      </c>
      <c r="C23" s="9">
        <v>0</v>
      </c>
      <c r="D23" s="9">
        <v>1420</v>
      </c>
      <c r="E23" s="9">
        <v>1430</v>
      </c>
    </row>
    <row r="24" spans="1:5" x14ac:dyDescent="0.3">
      <c r="A24" s="3" t="s">
        <v>46</v>
      </c>
      <c r="B24" s="9">
        <v>2392.3000000000002</v>
      </c>
      <c r="C24" s="9">
        <f>800+1800</f>
        <v>2600</v>
      </c>
      <c r="D24" s="9">
        <v>0</v>
      </c>
      <c r="E24" s="9">
        <v>130</v>
      </c>
    </row>
    <row r="25" spans="1:5" x14ac:dyDescent="0.3">
      <c r="A25" s="3" t="s">
        <v>47</v>
      </c>
      <c r="B25" s="9">
        <f>39.9+35.9+4700+164.98+370+120</f>
        <v>5430.78</v>
      </c>
      <c r="C25" s="9">
        <v>692</v>
      </c>
      <c r="D25" s="9">
        <v>1100</v>
      </c>
      <c r="E25" s="9">
        <v>460</v>
      </c>
    </row>
    <row r="26" spans="1:5" x14ac:dyDescent="0.3">
      <c r="A26" s="3" t="s">
        <v>17</v>
      </c>
      <c r="B26" s="9">
        <f>551.8+7412.95</f>
        <v>7964.75</v>
      </c>
      <c r="C26" s="9">
        <v>0</v>
      </c>
      <c r="D26" s="9">
        <v>516</v>
      </c>
      <c r="E26" s="9">
        <v>202.43</v>
      </c>
    </row>
    <row r="27" spans="1:5" x14ac:dyDescent="0.3">
      <c r="A27" s="3" t="s">
        <v>16</v>
      </c>
      <c r="B27" s="9">
        <v>316.10000000000002</v>
      </c>
      <c r="C27" s="9">
        <v>613.29999999999995</v>
      </c>
      <c r="D27" s="9">
        <v>364.6</v>
      </c>
      <c r="E27" s="9">
        <v>370.53</v>
      </c>
    </row>
    <row r="28" spans="1:5" x14ac:dyDescent="0.3">
      <c r="A28" s="2" t="s">
        <v>48</v>
      </c>
      <c r="B28" s="9">
        <f>1823.77+434+1500+496+54.21+189+129</f>
        <v>4625.9800000000005</v>
      </c>
      <c r="C28" s="9">
        <f>36.24+112.17+434+25.5+22.2</f>
        <v>630.11</v>
      </c>
      <c r="D28" s="9">
        <f>2239.22+434+1535.77</f>
        <v>4208.99</v>
      </c>
      <c r="E28" s="9">
        <f>69+11.04+965+4606.97+780+434+618</f>
        <v>7484.01</v>
      </c>
    </row>
    <row r="29" spans="1:5" x14ac:dyDescent="0.3">
      <c r="A29" s="3" t="s">
        <v>49</v>
      </c>
      <c r="B29" s="9">
        <v>1838.25</v>
      </c>
      <c r="C29" s="9">
        <v>612.75</v>
      </c>
      <c r="D29" s="9">
        <f>574.8+1102.95</f>
        <v>1677.75</v>
      </c>
      <c r="E29" s="9">
        <v>490.2</v>
      </c>
    </row>
    <row r="30" spans="1:5" x14ac:dyDescent="0.3">
      <c r="A30" s="3" t="s">
        <v>18</v>
      </c>
      <c r="B30" s="9">
        <v>806.9</v>
      </c>
      <c r="C30" s="9">
        <f>2650.4+3264</f>
        <v>5914.4</v>
      </c>
      <c r="D30" s="9">
        <f>75.16+40280</f>
        <v>40355.160000000003</v>
      </c>
      <c r="E30" s="9">
        <v>0</v>
      </c>
    </row>
    <row r="31" spans="1:5" x14ac:dyDescent="0.3">
      <c r="A31" s="2" t="s">
        <v>13</v>
      </c>
      <c r="B31" s="9">
        <v>4975.7299999999996</v>
      </c>
      <c r="C31" s="9">
        <v>4911.5</v>
      </c>
      <c r="D31" s="9">
        <v>5021.5</v>
      </c>
      <c r="E31" s="9">
        <v>4975.7299999999996</v>
      </c>
    </row>
    <row r="32" spans="1:5" x14ac:dyDescent="0.3">
      <c r="A32" s="2" t="s">
        <v>50</v>
      </c>
      <c r="B32" s="9">
        <f>1470.31</f>
        <v>1470.31</v>
      </c>
      <c r="C32" s="9">
        <f>1541.8</f>
        <v>1541.8</v>
      </c>
      <c r="D32" s="9">
        <v>1541.8</v>
      </c>
      <c r="E32" s="9">
        <f>1541.8+350</f>
        <v>1891.8</v>
      </c>
    </row>
    <row r="33" spans="1:5" x14ac:dyDescent="0.3">
      <c r="A33" s="3" t="s">
        <v>51</v>
      </c>
      <c r="B33" s="9">
        <f>1752.2+142+210+210+92.8+4525.25+4525.25+3528+3528</f>
        <v>18513.5</v>
      </c>
      <c r="C33" s="9">
        <f>1559.04+238.17+238.17+92.8+210+210+3528</f>
        <v>6076.18</v>
      </c>
      <c r="D33" s="9">
        <f>1559.04+4525.25+92.8+210+210+3528</f>
        <v>10125.09</v>
      </c>
      <c r="E33" s="9">
        <f>1559.04+4525.25+92.8+210+210+238.17+238.17+3528</f>
        <v>10601.43</v>
      </c>
    </row>
    <row r="34" spans="1:5" x14ac:dyDescent="0.3">
      <c r="A34" s="3" t="s">
        <v>52</v>
      </c>
      <c r="B34" s="9">
        <v>11050.15</v>
      </c>
      <c r="C34" s="9">
        <v>0</v>
      </c>
      <c r="D34" s="9">
        <v>0</v>
      </c>
      <c r="E34" s="9">
        <v>0</v>
      </c>
    </row>
    <row r="35" spans="1:5" x14ac:dyDescent="0.3">
      <c r="A35" s="3" t="s">
        <v>20</v>
      </c>
      <c r="B35" s="6">
        <f>9043.4+983.95</f>
        <v>10027.35</v>
      </c>
      <c r="C35" s="6">
        <v>8023.66</v>
      </c>
      <c r="D35" s="6">
        <v>3404.09</v>
      </c>
      <c r="E35" s="6">
        <v>6223.67</v>
      </c>
    </row>
    <row r="36" spans="1:5" x14ac:dyDescent="0.3">
      <c r="A36" s="4" t="s">
        <v>53</v>
      </c>
      <c r="B36" s="9">
        <f>2553.25+969.62+12.77+1139.83+5632.73-5481.63</f>
        <v>4826.5699999999988</v>
      </c>
      <c r="C36" s="9">
        <f>2754.9+1573.17+24.5+2708.48</f>
        <v>7061.0499999999993</v>
      </c>
      <c r="D36" s="9">
        <f>2621.9+358.93+126.44</f>
        <v>3107.27</v>
      </c>
      <c r="E36" s="9">
        <f>3185.4+101.81+340.2+135+5780.42</f>
        <v>9542.83</v>
      </c>
    </row>
    <row r="37" spans="1:5" x14ac:dyDescent="0.3">
      <c r="A37" s="18" t="s">
        <v>22</v>
      </c>
      <c r="B37" s="22">
        <f>SUM(B15:B36)</f>
        <v>111698.76</v>
      </c>
      <c r="C37" s="22">
        <f>SUM(C15:C36)</f>
        <v>80677.360000000015</v>
      </c>
      <c r="D37" s="22">
        <f>SUM(D15:D36)</f>
        <v>117150.42</v>
      </c>
      <c r="E37" s="22">
        <f>SUM(E15:E36)</f>
        <v>84902.390000000014</v>
      </c>
    </row>
    <row r="38" spans="1:5" x14ac:dyDescent="0.3">
      <c r="A38" s="24" t="s">
        <v>23</v>
      </c>
      <c r="B38" s="12"/>
      <c r="C38" s="12"/>
      <c r="D38" s="12"/>
      <c r="E38" s="12"/>
    </row>
    <row r="39" spans="1:5" x14ac:dyDescent="0.3">
      <c r="A39" s="7" t="s">
        <v>24</v>
      </c>
      <c r="B39" s="9">
        <v>12126.12</v>
      </c>
      <c r="C39" s="9">
        <v>4988.99</v>
      </c>
      <c r="D39" s="9">
        <v>5716.16</v>
      </c>
      <c r="E39" s="9">
        <v>9167.3799999999992</v>
      </c>
    </row>
    <row r="40" spans="1:5" x14ac:dyDescent="0.3">
      <c r="A40" s="7" t="s">
        <v>54</v>
      </c>
      <c r="B40" s="9">
        <f>5248.1-2389.46</f>
        <v>2858.6400000000003</v>
      </c>
      <c r="C40" s="9">
        <f>12526.7-882.43</f>
        <v>11644.27</v>
      </c>
      <c r="D40" s="9">
        <f>11644.64-701.67</f>
        <v>10942.97</v>
      </c>
      <c r="E40" s="9">
        <f>7283.42-1069.83</f>
        <v>6213.59</v>
      </c>
    </row>
    <row r="41" spans="1:5" x14ac:dyDescent="0.3">
      <c r="A41" s="7" t="s">
        <v>25</v>
      </c>
      <c r="B41" s="9">
        <v>0</v>
      </c>
      <c r="C41" s="9">
        <v>0</v>
      </c>
      <c r="D41" s="9"/>
      <c r="E41" s="9"/>
    </row>
    <row r="42" spans="1:5" x14ac:dyDescent="0.3">
      <c r="A42" s="18" t="s">
        <v>26</v>
      </c>
      <c r="B42" s="1">
        <f t="shared" ref="B42:E42" si="1">SUM(B39:B41)</f>
        <v>14984.760000000002</v>
      </c>
      <c r="C42" s="1">
        <f t="shared" si="1"/>
        <v>16633.260000000002</v>
      </c>
      <c r="D42" s="1">
        <f t="shared" si="1"/>
        <v>16659.129999999997</v>
      </c>
      <c r="E42" s="1">
        <f t="shared" si="1"/>
        <v>15380.97</v>
      </c>
    </row>
    <row r="43" spans="1:5" x14ac:dyDescent="0.3">
      <c r="A43" s="24" t="s">
        <v>27</v>
      </c>
      <c r="B43" s="12"/>
      <c r="C43" s="12"/>
      <c r="D43" s="12"/>
      <c r="E43" s="12"/>
    </row>
    <row r="44" spans="1:5" x14ac:dyDescent="0.3">
      <c r="A44" s="7" t="s">
        <v>28</v>
      </c>
      <c r="B44" s="9">
        <v>891</v>
      </c>
      <c r="C44" s="9">
        <v>0</v>
      </c>
      <c r="D44" s="9">
        <v>0</v>
      </c>
      <c r="E44" s="9">
        <v>1721.5</v>
      </c>
    </row>
    <row r="45" spans="1:5" x14ac:dyDescent="0.3">
      <c r="A45" s="7" t="s">
        <v>29</v>
      </c>
      <c r="B45" s="9">
        <v>0</v>
      </c>
      <c r="C45" s="9">
        <f>537.6+75.73+1682.6+2831</f>
        <v>5126.93</v>
      </c>
      <c r="D45" s="9">
        <f>954.06+149.96</f>
        <v>1104.02</v>
      </c>
      <c r="E45" s="9">
        <v>151.02000000000001</v>
      </c>
    </row>
    <row r="46" spans="1:5" x14ac:dyDescent="0.3">
      <c r="A46" s="18" t="s">
        <v>30</v>
      </c>
      <c r="B46" s="1">
        <f t="shared" ref="B46:E46" si="2">SUM(B44:B45)</f>
        <v>891</v>
      </c>
      <c r="C46" s="1">
        <f t="shared" si="2"/>
        <v>5126.93</v>
      </c>
      <c r="D46" s="1">
        <f t="shared" si="2"/>
        <v>1104.02</v>
      </c>
      <c r="E46" s="1">
        <f t="shared" si="2"/>
        <v>1872.52</v>
      </c>
    </row>
    <row r="47" spans="1:5" x14ac:dyDescent="0.3">
      <c r="A47" s="24" t="s">
        <v>31</v>
      </c>
      <c r="B47" s="12"/>
      <c r="C47" s="12"/>
      <c r="D47" s="12"/>
      <c r="E47" s="12"/>
    </row>
    <row r="48" spans="1:5" x14ac:dyDescent="0.3">
      <c r="A48" s="12" t="s">
        <v>32</v>
      </c>
      <c r="B48" s="9">
        <v>0</v>
      </c>
      <c r="C48" s="9">
        <v>100000</v>
      </c>
      <c r="D48" s="9"/>
      <c r="E48" s="9"/>
    </row>
    <row r="49" spans="1:5" x14ac:dyDescent="0.3">
      <c r="A49" s="18" t="s">
        <v>33</v>
      </c>
      <c r="B49" s="1"/>
      <c r="C49" s="1"/>
      <c r="D49" s="1"/>
      <c r="E49" s="1"/>
    </row>
    <row r="50" spans="1:5" x14ac:dyDescent="0.3">
      <c r="A50" s="29"/>
      <c r="B50" s="28"/>
      <c r="C50" s="28"/>
      <c r="D50" s="28"/>
      <c r="E50" s="28"/>
    </row>
    <row r="51" spans="1:5" ht="15.6" x14ac:dyDescent="0.3">
      <c r="A51" s="25" t="s">
        <v>62</v>
      </c>
      <c r="B51" s="26" t="s">
        <v>56</v>
      </c>
      <c r="C51" s="27" t="s">
        <v>57</v>
      </c>
      <c r="D51" s="27" t="s">
        <v>58</v>
      </c>
      <c r="E51" s="27" t="s">
        <v>59</v>
      </c>
    </row>
    <row r="52" spans="1:5" x14ac:dyDescent="0.3">
      <c r="A52" s="19" t="s">
        <v>38</v>
      </c>
      <c r="B52" s="9">
        <f>208065.77+44351</f>
        <v>252416.77</v>
      </c>
      <c r="C52" s="9">
        <f>202714+68723</f>
        <v>271437</v>
      </c>
      <c r="D52" s="9">
        <f>210322.05+95006</f>
        <v>305328.05</v>
      </c>
      <c r="E52" s="9">
        <f>227454.92+54354</f>
        <v>281808.92000000004</v>
      </c>
    </row>
    <row r="53" spans="1:5" x14ac:dyDescent="0.3">
      <c r="A53" s="19" t="s">
        <v>39</v>
      </c>
      <c r="B53" s="9">
        <f>2829.24+32361.63</f>
        <v>35190.870000000003</v>
      </c>
      <c r="C53" s="9">
        <f>4839.68+15488.6</f>
        <v>20328.28</v>
      </c>
      <c r="D53" s="9">
        <f>3455.61+47.91</f>
        <v>3503.52</v>
      </c>
      <c r="E53" s="9">
        <f>34345.98</f>
        <v>34345.980000000003</v>
      </c>
    </row>
    <row r="54" spans="1:5" x14ac:dyDescent="0.3">
      <c r="B54" s="16"/>
      <c r="C54" s="16"/>
      <c r="D54" s="16"/>
      <c r="E54" s="16"/>
    </row>
    <row r="56" spans="1:5" x14ac:dyDescent="0.3">
      <c r="C56" s="16"/>
    </row>
  </sheetData>
  <pageMargins left="0.511811024" right="0.511811024" top="0.78740157499999996" bottom="0.78740157499999996" header="0.31496062000000002" footer="0.31496062000000002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C9A86-817E-427E-852B-C8CD2D82405D}">
  <dimension ref="A1:E53"/>
  <sheetViews>
    <sheetView topLeftCell="A33" workbookViewId="0">
      <selection sqref="A1:E1"/>
    </sheetView>
  </sheetViews>
  <sheetFormatPr defaultRowHeight="14.4" x14ac:dyDescent="0.3"/>
  <cols>
    <col min="1" max="1" width="43.109375" customWidth="1"/>
    <col min="2" max="5" width="10.6640625" customWidth="1"/>
  </cols>
  <sheetData>
    <row r="1" spans="1:5" ht="15.6" x14ac:dyDescent="0.3">
      <c r="A1" s="39" t="s">
        <v>61</v>
      </c>
      <c r="B1" s="40"/>
      <c r="C1" s="40"/>
      <c r="D1" s="40"/>
      <c r="E1" s="41"/>
    </row>
    <row r="2" spans="1:5" x14ac:dyDescent="0.3">
      <c r="A2" s="24" t="s">
        <v>0</v>
      </c>
      <c r="B2" s="21" t="s">
        <v>63</v>
      </c>
      <c r="C2" s="21" t="s">
        <v>64</v>
      </c>
      <c r="D2" s="21" t="s">
        <v>65</v>
      </c>
      <c r="E2" s="21" t="s">
        <v>66</v>
      </c>
    </row>
    <row r="3" spans="1:5" x14ac:dyDescent="0.3">
      <c r="A3" s="2" t="s">
        <v>1</v>
      </c>
      <c r="B3" s="9">
        <v>109220</v>
      </c>
      <c r="C3" s="9">
        <f>43791+49787+21636.11</f>
        <v>115214.11</v>
      </c>
      <c r="D3" s="9">
        <v>94885.07</v>
      </c>
      <c r="E3" s="33">
        <v>85406</v>
      </c>
    </row>
    <row r="4" spans="1:5" x14ac:dyDescent="0.3">
      <c r="A4" s="2" t="s">
        <v>2</v>
      </c>
      <c r="B4" s="9">
        <v>0</v>
      </c>
      <c r="C4" s="9">
        <v>10607</v>
      </c>
      <c r="D4" s="9">
        <v>18668</v>
      </c>
      <c r="E4" s="33">
        <v>14008</v>
      </c>
    </row>
    <row r="5" spans="1:5" x14ac:dyDescent="0.3">
      <c r="A5" s="2" t="s">
        <v>3</v>
      </c>
      <c r="B5" s="9">
        <v>0</v>
      </c>
      <c r="C5" s="9">
        <v>0</v>
      </c>
      <c r="D5" s="9">
        <v>86477</v>
      </c>
      <c r="E5" s="34">
        <v>0</v>
      </c>
    </row>
    <row r="6" spans="1:5" ht="15.75" customHeight="1" x14ac:dyDescent="0.3">
      <c r="A6" s="2" t="s">
        <v>42</v>
      </c>
      <c r="B6" s="9">
        <v>79944.009999999995</v>
      </c>
      <c r="C6" s="9">
        <v>82747.97</v>
      </c>
      <c r="D6" s="9">
        <v>80408.509999999995</v>
      </c>
      <c r="E6" s="33">
        <v>118578.5</v>
      </c>
    </row>
    <row r="7" spans="1:5" x14ac:dyDescent="0.3">
      <c r="A7" s="2" t="s">
        <v>4</v>
      </c>
      <c r="B7" s="9">
        <v>12144.95</v>
      </c>
      <c r="C7" s="9">
        <v>10985.36</v>
      </c>
      <c r="D7" s="9">
        <v>11371.13</v>
      </c>
      <c r="E7" s="33">
        <v>17672.82</v>
      </c>
    </row>
    <row r="8" spans="1:5" x14ac:dyDescent="0.3">
      <c r="A8" s="2" t="s">
        <v>5</v>
      </c>
      <c r="B8" s="9">
        <v>1400.54</v>
      </c>
      <c r="C8" s="9">
        <v>708.9</v>
      </c>
      <c r="D8" s="9">
        <v>634.55999999999995</v>
      </c>
      <c r="E8" s="33">
        <v>609.75</v>
      </c>
    </row>
    <row r="9" spans="1:5" x14ac:dyDescent="0.3">
      <c r="A9" s="2" t="s">
        <v>6</v>
      </c>
      <c r="B9" s="9">
        <v>13235.17</v>
      </c>
      <c r="C9" s="9">
        <v>14864.11</v>
      </c>
      <c r="D9" s="9">
        <v>13235.17</v>
      </c>
      <c r="E9" s="33">
        <v>12237.08</v>
      </c>
    </row>
    <row r="10" spans="1:5" x14ac:dyDescent="0.3">
      <c r="A10" s="2" t="s">
        <v>7</v>
      </c>
      <c r="B10" s="9">
        <v>17712.419999999998</v>
      </c>
      <c r="C10" s="9">
        <v>19815.14</v>
      </c>
      <c r="D10" s="9">
        <f>17991.77-2102.72</f>
        <v>15889.050000000001</v>
      </c>
      <c r="E10" s="33">
        <f>19627.5-1051.36</f>
        <v>18576.14</v>
      </c>
    </row>
    <row r="11" spans="1:5" x14ac:dyDescent="0.3">
      <c r="A11" s="2" t="s">
        <v>55</v>
      </c>
      <c r="B11" s="9">
        <v>0</v>
      </c>
      <c r="C11" s="9">
        <v>0</v>
      </c>
      <c r="D11" s="35">
        <v>0</v>
      </c>
      <c r="E11" s="34">
        <v>0</v>
      </c>
    </row>
    <row r="12" spans="1:5" x14ac:dyDescent="0.3">
      <c r="A12" s="2" t="s">
        <v>8</v>
      </c>
      <c r="B12" s="9">
        <v>0</v>
      </c>
      <c r="C12" s="9">
        <v>0</v>
      </c>
      <c r="D12" s="35">
        <v>0</v>
      </c>
      <c r="E12" s="34">
        <v>0</v>
      </c>
    </row>
    <row r="13" spans="1:5" x14ac:dyDescent="0.3">
      <c r="A13" s="18" t="s">
        <v>9</v>
      </c>
      <c r="B13" s="1">
        <f t="shared" ref="B13:E13" si="0">SUM(B3:B12)</f>
        <v>233657.09000000003</v>
      </c>
      <c r="C13" s="1">
        <f t="shared" si="0"/>
        <v>254942.59000000003</v>
      </c>
      <c r="D13" s="1">
        <f t="shared" si="0"/>
        <v>321568.49</v>
      </c>
      <c r="E13" s="30">
        <f t="shared" si="0"/>
        <v>267088.28999999998</v>
      </c>
    </row>
    <row r="14" spans="1:5" x14ac:dyDescent="0.3">
      <c r="A14" s="24" t="s">
        <v>10</v>
      </c>
      <c r="B14" s="12"/>
      <c r="C14" s="12"/>
      <c r="D14" s="12"/>
      <c r="E14" s="12"/>
    </row>
    <row r="15" spans="1:5" x14ac:dyDescent="0.3">
      <c r="A15" s="3" t="s">
        <v>43</v>
      </c>
      <c r="B15" s="9">
        <v>55.9</v>
      </c>
      <c r="C15" s="9">
        <v>55.9</v>
      </c>
      <c r="D15" s="9">
        <v>55.9</v>
      </c>
      <c r="E15" s="33">
        <v>55.9</v>
      </c>
    </row>
    <row r="16" spans="1:5" x14ac:dyDescent="0.3">
      <c r="A16" s="2" t="s">
        <v>12</v>
      </c>
      <c r="B16" s="9">
        <v>18788.86</v>
      </c>
      <c r="C16" s="9">
        <f>18927.8+1055</f>
        <v>19982.8</v>
      </c>
      <c r="D16" s="9">
        <f>5867.83+13460.28</f>
        <v>19328.11</v>
      </c>
      <c r="E16" s="33">
        <f>18788.7</f>
        <v>18788.7</v>
      </c>
    </row>
    <row r="17" spans="1:5" x14ac:dyDescent="0.3">
      <c r="A17" s="3" t="s">
        <v>14</v>
      </c>
      <c r="B17" s="9"/>
      <c r="C17" s="9">
        <v>0</v>
      </c>
      <c r="D17" s="9">
        <v>925</v>
      </c>
      <c r="E17" s="33"/>
    </row>
    <row r="18" spans="1:5" x14ac:dyDescent="0.3">
      <c r="A18" s="3" t="s">
        <v>44</v>
      </c>
      <c r="B18" s="9">
        <f>2250+500+3607.91</f>
        <v>6357.91</v>
      </c>
      <c r="C18" s="9">
        <f>500+500+500+3192.73+129+69</f>
        <v>4890.7299999999996</v>
      </c>
      <c r="D18" s="9">
        <f>500+1000+1000+11505.75</f>
        <v>14005.75</v>
      </c>
      <c r="E18" s="33">
        <f>1000+1000+2183.24</f>
        <v>4183.24</v>
      </c>
    </row>
    <row r="19" spans="1:5" x14ac:dyDescent="0.3">
      <c r="A19" s="3" t="s">
        <v>19</v>
      </c>
      <c r="B19" s="9">
        <v>2466.3000000000002</v>
      </c>
      <c r="C19" s="9">
        <v>1502.71</v>
      </c>
      <c r="D19" s="9">
        <v>2332.64</v>
      </c>
      <c r="E19" s="33">
        <f>1203.4+974</f>
        <v>2177.4</v>
      </c>
    </row>
    <row r="20" spans="1:5" x14ac:dyDescent="0.3">
      <c r="A20" s="3" t="s">
        <v>45</v>
      </c>
      <c r="B20" s="9">
        <f>1500+2820.82+1187.46</f>
        <v>5508.28</v>
      </c>
      <c r="C20" s="9">
        <f>1500+284.56+2820.82+1187.46</f>
        <v>5792.84</v>
      </c>
      <c r="D20" s="9">
        <f>1500+284.56+2820.82+1187.46</f>
        <v>5792.84</v>
      </c>
      <c r="E20" s="33">
        <f>1500+284.56+2820.82+1187.46</f>
        <v>5792.84</v>
      </c>
    </row>
    <row r="21" spans="1:5" x14ac:dyDescent="0.3">
      <c r="A21" s="2" t="s">
        <v>11</v>
      </c>
      <c r="B21" s="9">
        <v>7218.29</v>
      </c>
      <c r="C21" s="9">
        <v>7225.6</v>
      </c>
      <c r="D21" s="9">
        <v>11884.96</v>
      </c>
      <c r="E21" s="33">
        <v>11941.83</v>
      </c>
    </row>
    <row r="22" spans="1:5" x14ac:dyDescent="0.3">
      <c r="A22" s="3" t="s">
        <v>15</v>
      </c>
      <c r="B22" s="6">
        <v>2078.86</v>
      </c>
      <c r="C22" s="6">
        <v>3050.97</v>
      </c>
      <c r="D22" s="6">
        <v>3114.56</v>
      </c>
      <c r="E22" s="31">
        <v>2727.16</v>
      </c>
    </row>
    <row r="23" spans="1:5" x14ac:dyDescent="0.3">
      <c r="A23" s="3" t="s">
        <v>21</v>
      </c>
      <c r="B23" s="9">
        <f>331.9+82</f>
        <v>413.9</v>
      </c>
      <c r="C23" s="9">
        <v>331.9</v>
      </c>
      <c r="D23" s="9">
        <v>210</v>
      </c>
      <c r="E23" s="34">
        <v>0</v>
      </c>
    </row>
    <row r="24" spans="1:5" x14ac:dyDescent="0.3">
      <c r="A24" s="3" t="s">
        <v>46</v>
      </c>
      <c r="B24" s="9">
        <v>1055</v>
      </c>
      <c r="C24" s="9">
        <v>130</v>
      </c>
      <c r="D24" s="9">
        <f>600+1649.31</f>
        <v>2249.31</v>
      </c>
      <c r="E24" s="33">
        <v>1649.3</v>
      </c>
    </row>
    <row r="25" spans="1:5" x14ac:dyDescent="0.3">
      <c r="A25" s="3" t="s">
        <v>47</v>
      </c>
      <c r="B25" s="9">
        <f>3900+3900+2495.54+300</f>
        <v>10595.54</v>
      </c>
      <c r="C25" s="9">
        <f>4315.02+320</f>
        <v>4635.0200000000004</v>
      </c>
      <c r="D25" s="9">
        <v>0</v>
      </c>
      <c r="E25" s="33">
        <v>695</v>
      </c>
    </row>
    <row r="26" spans="1:5" x14ac:dyDescent="0.3">
      <c r="A26" s="3" t="s">
        <v>17</v>
      </c>
      <c r="B26" s="9">
        <f>515+95.4+200</f>
        <v>810.4</v>
      </c>
      <c r="C26" s="9">
        <f>618.02+1015.3</f>
        <v>1633.32</v>
      </c>
      <c r="D26" s="9">
        <v>0</v>
      </c>
      <c r="E26" s="33">
        <v>164.49</v>
      </c>
    </row>
    <row r="27" spans="1:5" x14ac:dyDescent="0.3">
      <c r="A27" s="3" t="s">
        <v>16</v>
      </c>
      <c r="B27" s="9">
        <v>459.6</v>
      </c>
      <c r="C27" s="9">
        <f>765.87</f>
        <v>765.87</v>
      </c>
      <c r="D27" s="9">
        <v>0</v>
      </c>
      <c r="E27" s="33">
        <v>759.49</v>
      </c>
    </row>
    <row r="28" spans="1:5" x14ac:dyDescent="0.3">
      <c r="A28" s="2" t="s">
        <v>48</v>
      </c>
      <c r="B28" s="9">
        <f>434+3340+43.2+69+7000+5600</f>
        <v>16486.2</v>
      </c>
      <c r="C28" s="9">
        <f>1500+4606.96</f>
        <v>6106.96</v>
      </c>
      <c r="D28" s="9">
        <f>434+88+37.2+115.34+69+905+905+5600</f>
        <v>8153.54</v>
      </c>
      <c r="E28" s="33">
        <f>56.23+434+3934+390</f>
        <v>4814.2299999999996</v>
      </c>
    </row>
    <row r="29" spans="1:5" x14ac:dyDescent="0.3">
      <c r="A29" s="3" t="s">
        <v>49</v>
      </c>
      <c r="B29" s="9">
        <v>980.4</v>
      </c>
      <c r="C29" s="9">
        <f>486+2328.45</f>
        <v>2814.45</v>
      </c>
      <c r="D29" s="9">
        <v>1960.8</v>
      </c>
      <c r="E29" s="33">
        <f>756+1470.6</f>
        <v>2226.6</v>
      </c>
    </row>
    <row r="30" spans="1:5" x14ac:dyDescent="0.3">
      <c r="A30" s="3" t="s">
        <v>18</v>
      </c>
      <c r="B30" s="9">
        <v>246</v>
      </c>
      <c r="C30" s="9">
        <f>2823.12+6244+55546+3400+990</f>
        <v>69003.12</v>
      </c>
      <c r="D30" s="9">
        <f>3672+3400+9774.8+800+1000+88873.6</f>
        <v>107520.40000000001</v>
      </c>
      <c r="E30" s="33">
        <f>38300+84194.4+576.12+430</f>
        <v>123500.51999999999</v>
      </c>
    </row>
    <row r="31" spans="1:5" x14ac:dyDescent="0.3">
      <c r="A31" s="2" t="s">
        <v>13</v>
      </c>
      <c r="B31" s="9">
        <v>5776.82</v>
      </c>
      <c r="C31" s="9">
        <v>5200.33</v>
      </c>
      <c r="D31" s="9">
        <f>5140.33+60.23</f>
        <v>5200.5599999999995</v>
      </c>
      <c r="E31" s="33">
        <v>5140.33</v>
      </c>
    </row>
    <row r="32" spans="1:5" x14ac:dyDescent="0.3">
      <c r="A32" s="2" t="s">
        <v>50</v>
      </c>
      <c r="B32" s="9">
        <v>1541.8</v>
      </c>
      <c r="C32" s="9">
        <v>1541.8</v>
      </c>
      <c r="D32" s="9">
        <v>1541.8</v>
      </c>
      <c r="E32" s="33">
        <v>1541.8</v>
      </c>
    </row>
    <row r="33" spans="1:5" x14ac:dyDescent="0.3">
      <c r="A33" s="3" t="s">
        <v>51</v>
      </c>
      <c r="B33" s="9">
        <f>1559.04+4525.24+92.8+143.75+210+3528</f>
        <v>10058.83</v>
      </c>
      <c r="C33" s="9">
        <f>3711.12+4525.24+1346.7</f>
        <v>9583.0600000000013</v>
      </c>
      <c r="D33" s="9">
        <f>4525.24+1559.04+238.17+238.17+220.9+205.1+92.8+3711.12</f>
        <v>10790.54</v>
      </c>
      <c r="E33" s="33">
        <f>1559.04+4525.24+3711.12+92.8+205.1+220.9+238.17</f>
        <v>10552.369999999999</v>
      </c>
    </row>
    <row r="34" spans="1:5" x14ac:dyDescent="0.3">
      <c r="A34" s="3" t="s">
        <v>52</v>
      </c>
      <c r="B34" s="9">
        <v>0</v>
      </c>
      <c r="C34" s="9">
        <v>0</v>
      </c>
      <c r="D34" s="9"/>
      <c r="E34" s="33"/>
    </row>
    <row r="35" spans="1:5" x14ac:dyDescent="0.3">
      <c r="A35" s="3" t="s">
        <v>20</v>
      </c>
      <c r="B35" s="6">
        <v>4433.5</v>
      </c>
      <c r="C35" s="6">
        <f>3742.21+814.22</f>
        <v>4556.43</v>
      </c>
      <c r="D35" s="6">
        <f>3394.93</f>
        <v>3394.93</v>
      </c>
      <c r="E35" s="31">
        <v>4149.12</v>
      </c>
    </row>
    <row r="36" spans="1:5" x14ac:dyDescent="0.3">
      <c r="A36" s="4" t="s">
        <v>53</v>
      </c>
      <c r="B36" s="9">
        <f>2905.5+350.5+238.68+2613.36</f>
        <v>6108.04</v>
      </c>
      <c r="C36" s="9">
        <f>131.6+3018.06+418.2</f>
        <v>3567.8599999999997</v>
      </c>
      <c r="D36" s="9">
        <f>2992.32+2260.7+108+1732.84</f>
        <v>7093.8600000000006</v>
      </c>
      <c r="E36" s="33">
        <f>118.64+2490.07+363.32+11.9</f>
        <v>2983.9300000000003</v>
      </c>
    </row>
    <row r="37" spans="1:5" x14ac:dyDescent="0.3">
      <c r="A37" s="18" t="s">
        <v>22</v>
      </c>
      <c r="B37" s="1">
        <f>SUM(B15:B36)</f>
        <v>101440.43000000001</v>
      </c>
      <c r="C37" s="1">
        <f t="shared" ref="C37:E37" si="1">SUM(C15:C36)</f>
        <v>152371.66999999995</v>
      </c>
      <c r="D37" s="1">
        <f t="shared" si="1"/>
        <v>205555.5</v>
      </c>
      <c r="E37" s="1">
        <f t="shared" si="1"/>
        <v>203844.24999999994</v>
      </c>
    </row>
    <row r="38" spans="1:5" x14ac:dyDescent="0.3">
      <c r="A38" s="24" t="s">
        <v>23</v>
      </c>
      <c r="B38" s="17"/>
      <c r="C38" s="17"/>
      <c r="D38" s="17"/>
      <c r="E38" s="17"/>
    </row>
    <row r="39" spans="1:5" x14ac:dyDescent="0.3">
      <c r="A39" s="7" t="s">
        <v>24</v>
      </c>
      <c r="B39" s="9">
        <v>0</v>
      </c>
      <c r="C39" s="9">
        <v>1485</v>
      </c>
      <c r="D39" s="9">
        <v>0</v>
      </c>
      <c r="E39" s="33">
        <v>13985.22</v>
      </c>
    </row>
    <row r="40" spans="1:5" x14ac:dyDescent="0.3">
      <c r="A40" s="7" t="s">
        <v>54</v>
      </c>
      <c r="B40" s="9">
        <v>8530.86</v>
      </c>
      <c r="C40" s="9">
        <f>5231.85-1776.84-91.26</f>
        <v>3363.75</v>
      </c>
      <c r="D40" s="9">
        <f>7293.22-515.03</f>
        <v>6778.1900000000005</v>
      </c>
      <c r="E40" s="33">
        <f>9818.29-1603.84</f>
        <v>8214.4500000000007</v>
      </c>
    </row>
    <row r="41" spans="1:5" x14ac:dyDescent="0.3">
      <c r="A41" s="7" t="s">
        <v>25</v>
      </c>
      <c r="B41" s="9">
        <v>0</v>
      </c>
      <c r="C41" s="9">
        <v>11122.86</v>
      </c>
      <c r="D41" s="9">
        <v>0</v>
      </c>
      <c r="E41" s="33">
        <v>0</v>
      </c>
    </row>
    <row r="42" spans="1:5" x14ac:dyDescent="0.3">
      <c r="A42" s="18" t="s">
        <v>26</v>
      </c>
      <c r="B42" s="1">
        <f t="shared" ref="B42:E42" si="2">SUM(B39:B41)</f>
        <v>8530.86</v>
      </c>
      <c r="C42" s="1">
        <f t="shared" si="2"/>
        <v>15971.61</v>
      </c>
      <c r="D42" s="1">
        <f t="shared" si="2"/>
        <v>6778.1900000000005</v>
      </c>
      <c r="E42" s="30">
        <f t="shared" si="2"/>
        <v>22199.67</v>
      </c>
    </row>
    <row r="43" spans="1:5" x14ac:dyDescent="0.3">
      <c r="A43" s="24" t="s">
        <v>27</v>
      </c>
      <c r="B43" s="12"/>
      <c r="C43" s="12"/>
      <c r="D43" s="12"/>
      <c r="E43" s="12"/>
    </row>
    <row r="44" spans="1:5" x14ac:dyDescent="0.3">
      <c r="A44" s="7" t="s">
        <v>28</v>
      </c>
      <c r="B44" s="9">
        <v>3386.2</v>
      </c>
      <c r="C44" s="9">
        <v>0</v>
      </c>
      <c r="D44" s="9">
        <v>0</v>
      </c>
      <c r="E44" s="34">
        <v>0</v>
      </c>
    </row>
    <row r="45" spans="1:5" x14ac:dyDescent="0.3">
      <c r="A45" s="7" t="s">
        <v>29</v>
      </c>
      <c r="B45" s="9">
        <v>0</v>
      </c>
      <c r="C45" s="9">
        <v>0</v>
      </c>
      <c r="D45" s="9">
        <v>0</v>
      </c>
      <c r="E45" s="34">
        <v>0</v>
      </c>
    </row>
    <row r="46" spans="1:5" x14ac:dyDescent="0.3">
      <c r="A46" s="18" t="s">
        <v>30</v>
      </c>
      <c r="B46" s="1">
        <f t="shared" ref="B46:E46" si="3">SUM(B44:B45)</f>
        <v>3386.2</v>
      </c>
      <c r="C46" s="1">
        <f t="shared" si="3"/>
        <v>0</v>
      </c>
      <c r="D46" s="1">
        <f t="shared" si="3"/>
        <v>0</v>
      </c>
      <c r="E46" s="32">
        <f t="shared" si="3"/>
        <v>0</v>
      </c>
    </row>
    <row r="47" spans="1:5" x14ac:dyDescent="0.3">
      <c r="A47" s="20" t="s">
        <v>31</v>
      </c>
      <c r="B47" s="12"/>
      <c r="C47" s="12"/>
      <c r="D47" s="12"/>
      <c r="E47" s="12"/>
    </row>
    <row r="48" spans="1:5" x14ac:dyDescent="0.3">
      <c r="A48" s="12" t="s">
        <v>32</v>
      </c>
      <c r="B48" s="36"/>
      <c r="C48" s="36"/>
      <c r="D48" s="36"/>
      <c r="E48" s="37"/>
    </row>
    <row r="49" spans="1:5" x14ac:dyDescent="0.3">
      <c r="A49" s="18" t="s">
        <v>33</v>
      </c>
      <c r="B49" s="36"/>
      <c r="C49" s="36">
        <v>200000</v>
      </c>
      <c r="D49" s="36"/>
      <c r="E49" s="37"/>
    </row>
    <row r="50" spans="1:5" x14ac:dyDescent="0.3">
      <c r="A50" s="17"/>
      <c r="B50" s="15"/>
      <c r="C50" s="15"/>
      <c r="D50" s="15"/>
      <c r="E50" s="15"/>
    </row>
    <row r="51" spans="1:5" ht="15.6" x14ac:dyDescent="0.3">
      <c r="A51" s="25" t="s">
        <v>67</v>
      </c>
      <c r="B51" s="21" t="s">
        <v>63</v>
      </c>
      <c r="C51" s="21" t="s">
        <v>64</v>
      </c>
      <c r="D51" s="21" t="s">
        <v>65</v>
      </c>
      <c r="E51" s="21" t="s">
        <v>66</v>
      </c>
    </row>
    <row r="52" spans="1:5" x14ac:dyDescent="0.3">
      <c r="A52" s="38" t="s">
        <v>38</v>
      </c>
      <c r="B52" s="9">
        <f>205236+74776</f>
        <v>280012</v>
      </c>
      <c r="C52" s="9">
        <f>205236+50404</f>
        <v>255640</v>
      </c>
      <c r="D52" s="9">
        <f>205241.14+48572.2</f>
        <v>253813.34000000003</v>
      </c>
      <c r="E52" s="9">
        <f>83067+205236</f>
        <v>288303</v>
      </c>
    </row>
    <row r="53" spans="1:5" x14ac:dyDescent="0.3">
      <c r="A53" s="19" t="s">
        <v>39</v>
      </c>
      <c r="B53" s="9">
        <f>12285.88+12970.14+20610.67</f>
        <v>45866.689999999995</v>
      </c>
      <c r="C53" s="9">
        <f>85982.04+8003.23</f>
        <v>93985.26999999999</v>
      </c>
      <c r="D53" s="9">
        <f>26994.54+6113.96</f>
        <v>33108.5</v>
      </c>
      <c r="E53" s="9">
        <f>5649.9+52593.78+2691.3</f>
        <v>60934.98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1º  QUADRIMESTRE 2025</vt:lpstr>
      <vt:lpstr>2º QUADRIMESTRE 2025</vt:lpstr>
      <vt:lpstr>3º QUADRIMESTRE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Nonato - Consórcio PCJ</dc:creator>
  <cp:lastModifiedBy>Leticia Kumagai - Consórcio PCJ</cp:lastModifiedBy>
  <cp:lastPrinted>2025-11-11T15:33:15Z</cp:lastPrinted>
  <dcterms:created xsi:type="dcterms:W3CDTF">2025-01-14T19:34:35Z</dcterms:created>
  <dcterms:modified xsi:type="dcterms:W3CDTF">2026-05-08T13:10:58Z</dcterms:modified>
</cp:coreProperties>
</file>